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S:\CRS\Merck Fact Sheets\"/>
    </mc:Choice>
  </mc:AlternateContent>
  <xr:revisionPtr revIDLastSave="0" documentId="13_ncr:1_{D9EA239A-149F-49AD-BF60-2CC244FFFEA3}" xr6:coauthVersionLast="47" xr6:coauthVersionMax="47" xr10:uidLastSave="{00000000-0000-0000-0000-000000000000}"/>
  <bookViews>
    <workbookView xWindow="28680" yWindow="-120" windowWidth="29040" windowHeight="15840" tabRatio="895" xr2:uid="{00000000-000D-0000-FFFF-FFFF00000000}"/>
  </bookViews>
  <sheets>
    <sheet name="Variable Inputs" sheetId="4" r:id="rId1"/>
    <sheet name="Probabilities &amp; Price Slide" sheetId="7" r:id="rId2"/>
    <sheet name="NPV Scenario 1" sheetId="11" r:id="rId3"/>
    <sheet name="NPV Scenario 2" sheetId="13" r:id="rId4"/>
    <sheet name="Wt NPV &amp; EA" sheetId="8" r:id="rId5"/>
  </sheets>
  <definedNames>
    <definedName name="Age">'Variable Inputs'!$C$41</definedName>
    <definedName name="H">'Variable Inputs'!$C$20</definedName>
    <definedName name="i">'Variable Inputs'!$C$44</definedName>
    <definedName name="NPVc_1_">'NPV Scenario 1'!$P$9</definedName>
    <definedName name="NPVc_2_">'NPV Scenario 2'!$P$9</definedName>
    <definedName name="NPVd_1_">'NPV Scenario 1'!$P$37</definedName>
    <definedName name="NPVd_2_">'NPV Scenario 2'!$P$37</definedName>
    <definedName name="NPVh_1_">'NPV Scenario 1'!$AC$46</definedName>
    <definedName name="NPVh_2_">'NPV Scenario 2'!$AD$4+'NPV Scenario 2'!$AC$46</definedName>
    <definedName name="NPVhd_1_">'NPV Scenario 1'!$AC$73</definedName>
    <definedName name="NPVhd_2_">'NPV Scenario 2'!$AC$73</definedName>
    <definedName name="NPVho_1_">'NPV Scenario 1'!$AC$55</definedName>
    <definedName name="NPVho_2_">'NPV Scenario 2'!$AC$55</definedName>
    <definedName name="NPVhu_1_">'NPV Scenario 1'!$AC$64</definedName>
    <definedName name="NPVhu_2_">'NPV Scenario 2'!$AC$64</definedName>
    <definedName name="NPVo_1_">'NPV Scenario 1'!$P$18</definedName>
    <definedName name="NPVo_2_">'NPV Scenario 2'!$P$18</definedName>
    <definedName name="NPVu_1_">'NPV Scenario 1'!$P$28</definedName>
    <definedName name="NPVu_2_">'NPV Scenario 2'!$P$28</definedName>
    <definedName name="on">'Variable Inputs'!$C$18</definedName>
    <definedName name="P">'Variable Inputs'!$C$35</definedName>
    <definedName name="PC">'Variable Inputs'!$C$40</definedName>
    <definedName name="PCO">'Variable Inputs'!$C$42</definedName>
    <definedName name="PurH">'Variable Inputs'!$C$21</definedName>
    <definedName name="rev">'Variable Inputs'!$C$29</definedName>
    <definedName name="rn">'Variable Inputs'!$C$19</definedName>
    <definedName name="S">'Variable Inputs'!$C$39</definedName>
    <definedName name="vc">'Variable Inputs'!$C$34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7" l="1"/>
  <c r="C20" i="7"/>
  <c r="E20" i="7" s="1"/>
  <c r="D20" i="7"/>
  <c r="J20" i="7"/>
  <c r="C21" i="7"/>
  <c r="D21" i="7"/>
  <c r="J21" i="7"/>
  <c r="C22" i="7"/>
  <c r="E22" i="7" s="1"/>
  <c r="D22" i="7"/>
  <c r="J22" i="7"/>
  <c r="C23" i="7"/>
  <c r="D23" i="7"/>
  <c r="J23" i="7"/>
  <c r="C24" i="7"/>
  <c r="E24" i="7" s="1"/>
  <c r="D24" i="7"/>
  <c r="C25" i="7"/>
  <c r="D25" i="7"/>
  <c r="E25" i="7" s="1"/>
  <c r="C26" i="7"/>
  <c r="D26" i="7"/>
  <c r="E26" i="7" s="1"/>
  <c r="C27" i="7"/>
  <c r="D27" i="7"/>
  <c r="C28" i="7"/>
  <c r="D28" i="7"/>
  <c r="C29" i="7"/>
  <c r="D29" i="7"/>
  <c r="C28" i="4" a="1"/>
  <c r="C28" i="4" s="1"/>
  <c r="C29" i="4" s="1"/>
  <c r="F6" i="7"/>
  <c r="E6" i="7"/>
  <c r="D6" i="7"/>
  <c r="D9" i="7" s="1"/>
  <c r="F7" i="7" l="1"/>
  <c r="F8" i="7" s="1"/>
  <c r="F9" i="7" s="1"/>
  <c r="F10" i="7" s="1"/>
  <c r="F11" i="7" s="1"/>
  <c r="F12" i="7" s="1"/>
  <c r="F5" i="7"/>
  <c r="E21" i="7"/>
  <c r="E29" i="7"/>
  <c r="D8" i="7"/>
  <c r="E27" i="7"/>
  <c r="E23" i="7"/>
  <c r="E28" i="7"/>
  <c r="N20" i="7"/>
  <c r="N21" i="7"/>
  <c r="N22" i="7"/>
  <c r="N23" i="7"/>
  <c r="K20" i="7"/>
  <c r="K21" i="7"/>
  <c r="K22" i="7"/>
  <c r="K23" i="7"/>
  <c r="M20" i="7"/>
  <c r="M21" i="7"/>
  <c r="M22" i="7"/>
  <c r="M23" i="7"/>
  <c r="L20" i="7"/>
  <c r="L21" i="7"/>
  <c r="L22" i="7"/>
  <c r="L23" i="7"/>
  <c r="F3" i="7"/>
  <c r="C23" i="8" s="1"/>
  <c r="F4" i="7"/>
  <c r="D4" i="7"/>
  <c r="D12" i="7"/>
  <c r="D10" i="7"/>
  <c r="D5" i="7"/>
  <c r="D11" i="7"/>
  <c r="E7" i="7"/>
  <c r="E8" i="7" s="1"/>
  <c r="E9" i="7" s="1"/>
  <c r="E3" i="7"/>
  <c r="C29" i="8" s="1"/>
  <c r="D3" i="7"/>
  <c r="D7" i="7"/>
  <c r="E4" i="7"/>
  <c r="E5" i="7" s="1"/>
  <c r="C6" i="7"/>
  <c r="C30" i="8" l="1"/>
  <c r="C8" i="8"/>
  <c r="C28" i="8"/>
  <c r="C21" i="8"/>
  <c r="C14" i="8"/>
  <c r="C7" i="8"/>
  <c r="C6" i="8"/>
  <c r="C22" i="8"/>
  <c r="Q34" i="7"/>
  <c r="Q37" i="7"/>
  <c r="Q40" i="7"/>
  <c r="Q43" i="7"/>
  <c r="Q46" i="7"/>
  <c r="Q49" i="7"/>
  <c r="Q52" i="7"/>
  <c r="Q55" i="7"/>
  <c r="Q58" i="7"/>
  <c r="Q61" i="7"/>
  <c r="Q64" i="7"/>
  <c r="Q67" i="7"/>
  <c r="Q35" i="7"/>
  <c r="Q38" i="7"/>
  <c r="Q41" i="7"/>
  <c r="Q44" i="7"/>
  <c r="Q47" i="7"/>
  <c r="Q50" i="7"/>
  <c r="Q53" i="7"/>
  <c r="Q56" i="7"/>
  <c r="Q59" i="7"/>
  <c r="Q62" i="7"/>
  <c r="Q65" i="7"/>
  <c r="Q68" i="7"/>
  <c r="Q33" i="7"/>
  <c r="Q45" i="7"/>
  <c r="Q60" i="7"/>
  <c r="Q39" i="7"/>
  <c r="Q54" i="7"/>
  <c r="Q69" i="7"/>
  <c r="Q48" i="7"/>
  <c r="Q63" i="7"/>
  <c r="Q51" i="7"/>
  <c r="Q66" i="7"/>
  <c r="Q42" i="7"/>
  <c r="Q36" i="7"/>
  <c r="Q57" i="7"/>
  <c r="R270" i="7"/>
  <c r="R288" i="7"/>
  <c r="R303" i="7"/>
  <c r="R318" i="7"/>
  <c r="R330" i="7"/>
  <c r="R273" i="7"/>
  <c r="R279" i="7"/>
  <c r="R285" i="7"/>
  <c r="R282" i="7"/>
  <c r="R306" i="7"/>
  <c r="R321" i="7"/>
  <c r="R336" i="7"/>
  <c r="R294" i="7"/>
  <c r="R312" i="7"/>
  <c r="R327" i="7"/>
  <c r="R274" i="7"/>
  <c r="R280" i="7"/>
  <c r="R286" i="7"/>
  <c r="R290" i="7"/>
  <c r="R293" i="7"/>
  <c r="R296" i="7"/>
  <c r="R299" i="7"/>
  <c r="R302" i="7"/>
  <c r="R305" i="7"/>
  <c r="R308" i="7"/>
  <c r="R311" i="7"/>
  <c r="R314" i="7"/>
  <c r="R317" i="7"/>
  <c r="R320" i="7"/>
  <c r="R323" i="7"/>
  <c r="R326" i="7"/>
  <c r="R329" i="7"/>
  <c r="R332" i="7"/>
  <c r="R335" i="7"/>
  <c r="R338" i="7"/>
  <c r="R341" i="7"/>
  <c r="R344" i="7"/>
  <c r="R347" i="7"/>
  <c r="R350" i="7"/>
  <c r="R353" i="7"/>
  <c r="R356" i="7"/>
  <c r="R359" i="7"/>
  <c r="R362" i="7"/>
  <c r="R365" i="7"/>
  <c r="R368" i="7"/>
  <c r="R275" i="7"/>
  <c r="R281" i="7"/>
  <c r="R287" i="7"/>
  <c r="R276" i="7"/>
  <c r="R297" i="7"/>
  <c r="R315" i="7"/>
  <c r="R333" i="7"/>
  <c r="R342" i="7"/>
  <c r="R272" i="7"/>
  <c r="R278" i="7"/>
  <c r="R284" i="7"/>
  <c r="R289" i="7"/>
  <c r="R292" i="7"/>
  <c r="R295" i="7"/>
  <c r="R298" i="7"/>
  <c r="R301" i="7"/>
  <c r="R304" i="7"/>
  <c r="R307" i="7"/>
  <c r="R310" i="7"/>
  <c r="R313" i="7"/>
  <c r="R316" i="7"/>
  <c r="R319" i="7"/>
  <c r="R322" i="7"/>
  <c r="R325" i="7"/>
  <c r="R328" i="7"/>
  <c r="R331" i="7"/>
  <c r="R334" i="7"/>
  <c r="R337" i="7"/>
  <c r="R340" i="7"/>
  <c r="R343" i="7"/>
  <c r="R346" i="7"/>
  <c r="R349" i="7"/>
  <c r="R352" i="7"/>
  <c r="R355" i="7"/>
  <c r="R358" i="7"/>
  <c r="R361" i="7"/>
  <c r="R364" i="7"/>
  <c r="R367" i="7"/>
  <c r="R370" i="7"/>
  <c r="R291" i="7"/>
  <c r="R309" i="7"/>
  <c r="R324" i="7"/>
  <c r="R271" i="7"/>
  <c r="R348" i="7"/>
  <c r="R360" i="7"/>
  <c r="R354" i="7"/>
  <c r="R345" i="7"/>
  <c r="R300" i="7"/>
  <c r="R277" i="7"/>
  <c r="R351" i="7"/>
  <c r="R363" i="7"/>
  <c r="R366" i="7"/>
  <c r="R357" i="7"/>
  <c r="R283" i="7"/>
  <c r="R339" i="7"/>
  <c r="R369" i="7"/>
  <c r="R186" i="7"/>
  <c r="R216" i="7"/>
  <c r="R240" i="7"/>
  <c r="R171" i="7"/>
  <c r="R177" i="7"/>
  <c r="R183" i="7"/>
  <c r="R189" i="7"/>
  <c r="R195" i="7"/>
  <c r="R201" i="7"/>
  <c r="R207" i="7"/>
  <c r="R213" i="7"/>
  <c r="R219" i="7"/>
  <c r="R225" i="7"/>
  <c r="R231" i="7"/>
  <c r="R237" i="7"/>
  <c r="R243" i="7"/>
  <c r="R249" i="7"/>
  <c r="R255" i="7"/>
  <c r="R261" i="7"/>
  <c r="R267" i="7"/>
  <c r="R174" i="7"/>
  <c r="R204" i="7"/>
  <c r="R246" i="7"/>
  <c r="R198" i="7"/>
  <c r="R234" i="7"/>
  <c r="R264" i="7"/>
  <c r="R172" i="7"/>
  <c r="R178" i="7"/>
  <c r="R184" i="7"/>
  <c r="R190" i="7"/>
  <c r="R196" i="7"/>
  <c r="R202" i="7"/>
  <c r="R208" i="7"/>
  <c r="R214" i="7"/>
  <c r="R220" i="7"/>
  <c r="R226" i="7"/>
  <c r="R232" i="7"/>
  <c r="R238" i="7"/>
  <c r="R244" i="7"/>
  <c r="R250" i="7"/>
  <c r="R256" i="7"/>
  <c r="R262" i="7"/>
  <c r="R268" i="7"/>
  <c r="R173" i="7"/>
  <c r="R179" i="7"/>
  <c r="R185" i="7"/>
  <c r="R191" i="7"/>
  <c r="R197" i="7"/>
  <c r="R203" i="7"/>
  <c r="R209" i="7"/>
  <c r="R215" i="7"/>
  <c r="R221" i="7"/>
  <c r="R227" i="7"/>
  <c r="R233" i="7"/>
  <c r="R239" i="7"/>
  <c r="R245" i="7"/>
  <c r="R251" i="7"/>
  <c r="R257" i="7"/>
  <c r="R263" i="7"/>
  <c r="R269" i="7"/>
  <c r="R180" i="7"/>
  <c r="R210" i="7"/>
  <c r="R228" i="7"/>
  <c r="R252" i="7"/>
  <c r="R170" i="7"/>
  <c r="R176" i="7"/>
  <c r="R182" i="7"/>
  <c r="R188" i="7"/>
  <c r="R194" i="7"/>
  <c r="R200" i="7"/>
  <c r="R206" i="7"/>
  <c r="R212" i="7"/>
  <c r="R218" i="7"/>
  <c r="R224" i="7"/>
  <c r="R230" i="7"/>
  <c r="R236" i="7"/>
  <c r="R242" i="7"/>
  <c r="R248" i="7"/>
  <c r="R254" i="7"/>
  <c r="R260" i="7"/>
  <c r="R266" i="7"/>
  <c r="R192" i="7"/>
  <c r="R222" i="7"/>
  <c r="R258" i="7"/>
  <c r="R223" i="7"/>
  <c r="R199" i="7"/>
  <c r="R235" i="7"/>
  <c r="R217" i="7"/>
  <c r="R259" i="7"/>
  <c r="R205" i="7"/>
  <c r="R241" i="7"/>
  <c r="R181" i="7"/>
  <c r="R187" i="7"/>
  <c r="R175" i="7"/>
  <c r="R211" i="7"/>
  <c r="R247" i="7"/>
  <c r="R253" i="7"/>
  <c r="R193" i="7"/>
  <c r="R229" i="7"/>
  <c r="R265" i="7"/>
  <c r="R70" i="7"/>
  <c r="R73" i="7"/>
  <c r="R76" i="7"/>
  <c r="R79" i="7"/>
  <c r="R90" i="7"/>
  <c r="R114" i="7"/>
  <c r="R138" i="7"/>
  <c r="R156" i="7"/>
  <c r="R74" i="7"/>
  <c r="R81" i="7"/>
  <c r="R87" i="7"/>
  <c r="R93" i="7"/>
  <c r="R99" i="7"/>
  <c r="R105" i="7"/>
  <c r="R111" i="7"/>
  <c r="R117" i="7"/>
  <c r="R123" i="7"/>
  <c r="R129" i="7"/>
  <c r="R135" i="7"/>
  <c r="R141" i="7"/>
  <c r="R147" i="7"/>
  <c r="R153" i="7"/>
  <c r="R159" i="7"/>
  <c r="R165" i="7"/>
  <c r="R120" i="7"/>
  <c r="R150" i="7"/>
  <c r="R108" i="7"/>
  <c r="R132" i="7"/>
  <c r="R168" i="7"/>
  <c r="R75" i="7"/>
  <c r="R82" i="7"/>
  <c r="R88" i="7"/>
  <c r="R94" i="7"/>
  <c r="R100" i="7"/>
  <c r="R106" i="7"/>
  <c r="R112" i="7"/>
  <c r="R118" i="7"/>
  <c r="R124" i="7"/>
  <c r="R130" i="7"/>
  <c r="R136" i="7"/>
  <c r="R142" i="7"/>
  <c r="R148" i="7"/>
  <c r="R154" i="7"/>
  <c r="R160" i="7"/>
  <c r="R166" i="7"/>
  <c r="R83" i="7"/>
  <c r="R89" i="7"/>
  <c r="R95" i="7"/>
  <c r="R101" i="7"/>
  <c r="R107" i="7"/>
  <c r="R113" i="7"/>
  <c r="R119" i="7"/>
  <c r="R125" i="7"/>
  <c r="R131" i="7"/>
  <c r="R137" i="7"/>
  <c r="R143" i="7"/>
  <c r="R149" i="7"/>
  <c r="R155" i="7"/>
  <c r="R161" i="7"/>
  <c r="R167" i="7"/>
  <c r="R77" i="7"/>
  <c r="R102" i="7"/>
  <c r="R84" i="7"/>
  <c r="R144" i="7"/>
  <c r="R72" i="7"/>
  <c r="R80" i="7"/>
  <c r="R86" i="7"/>
  <c r="R92" i="7"/>
  <c r="R98" i="7"/>
  <c r="R104" i="7"/>
  <c r="R110" i="7"/>
  <c r="R116" i="7"/>
  <c r="R122" i="7"/>
  <c r="R128" i="7"/>
  <c r="R134" i="7"/>
  <c r="R140" i="7"/>
  <c r="R146" i="7"/>
  <c r="R152" i="7"/>
  <c r="R158" i="7"/>
  <c r="R164" i="7"/>
  <c r="R96" i="7"/>
  <c r="R126" i="7"/>
  <c r="R162" i="7"/>
  <c r="R163" i="7"/>
  <c r="R145" i="7"/>
  <c r="R91" i="7"/>
  <c r="R127" i="7"/>
  <c r="R109" i="7"/>
  <c r="R97" i="7"/>
  <c r="R133" i="7"/>
  <c r="R169" i="7"/>
  <c r="R78" i="7"/>
  <c r="R115" i="7"/>
  <c r="R103" i="7"/>
  <c r="R139" i="7"/>
  <c r="R151" i="7"/>
  <c r="R71" i="7"/>
  <c r="R85" i="7"/>
  <c r="R121" i="7"/>
  <c r="R157" i="7"/>
  <c r="T270" i="7"/>
  <c r="T273" i="7"/>
  <c r="T276" i="7"/>
  <c r="T279" i="7"/>
  <c r="T282" i="7"/>
  <c r="T285" i="7"/>
  <c r="T271" i="7"/>
  <c r="T274" i="7"/>
  <c r="T277" i="7"/>
  <c r="T280" i="7"/>
  <c r="T283" i="7"/>
  <c r="T286" i="7"/>
  <c r="T272" i="7"/>
  <c r="T275" i="7"/>
  <c r="T278" i="7"/>
  <c r="T281" i="7"/>
  <c r="T284" i="7"/>
  <c r="T287" i="7"/>
  <c r="T289" i="7"/>
  <c r="T292" i="7"/>
  <c r="T295" i="7"/>
  <c r="T298" i="7"/>
  <c r="T301" i="7"/>
  <c r="T304" i="7"/>
  <c r="T307" i="7"/>
  <c r="T310" i="7"/>
  <c r="T313" i="7"/>
  <c r="T316" i="7"/>
  <c r="T319" i="7"/>
  <c r="T322" i="7"/>
  <c r="T325" i="7"/>
  <c r="T328" i="7"/>
  <c r="T331" i="7"/>
  <c r="T334" i="7"/>
  <c r="T337" i="7"/>
  <c r="T340" i="7"/>
  <c r="T343" i="7"/>
  <c r="T346" i="7"/>
  <c r="T349" i="7"/>
  <c r="T352" i="7"/>
  <c r="T355" i="7"/>
  <c r="T358" i="7"/>
  <c r="T361" i="7"/>
  <c r="T364" i="7"/>
  <c r="T367" i="7"/>
  <c r="T370" i="7"/>
  <c r="T290" i="7"/>
  <c r="T293" i="7"/>
  <c r="T296" i="7"/>
  <c r="T299" i="7"/>
  <c r="T302" i="7"/>
  <c r="T305" i="7"/>
  <c r="T308" i="7"/>
  <c r="T311" i="7"/>
  <c r="T314" i="7"/>
  <c r="T317" i="7"/>
  <c r="T320" i="7"/>
  <c r="T323" i="7"/>
  <c r="T326" i="7"/>
  <c r="T329" i="7"/>
  <c r="T332" i="7"/>
  <c r="T335" i="7"/>
  <c r="T338" i="7"/>
  <c r="T341" i="7"/>
  <c r="T344" i="7"/>
  <c r="T347" i="7"/>
  <c r="T350" i="7"/>
  <c r="T353" i="7"/>
  <c r="T356" i="7"/>
  <c r="T359" i="7"/>
  <c r="T362" i="7"/>
  <c r="T365" i="7"/>
  <c r="T368" i="7"/>
  <c r="T312" i="7"/>
  <c r="T330" i="7"/>
  <c r="T345" i="7"/>
  <c r="T357" i="7"/>
  <c r="T369" i="7"/>
  <c r="T360" i="7"/>
  <c r="T363" i="7"/>
  <c r="T309" i="7"/>
  <c r="T297" i="7"/>
  <c r="T306" i="7"/>
  <c r="T354" i="7"/>
  <c r="T315" i="7"/>
  <c r="T333" i="7"/>
  <c r="T348" i="7"/>
  <c r="T351" i="7"/>
  <c r="T339" i="7"/>
  <c r="T300" i="7"/>
  <c r="T318" i="7"/>
  <c r="T336" i="7"/>
  <c r="T321" i="7"/>
  <c r="T288" i="7"/>
  <c r="T291" i="7"/>
  <c r="T366" i="7"/>
  <c r="T303" i="7"/>
  <c r="T324" i="7"/>
  <c r="T294" i="7"/>
  <c r="T342" i="7"/>
  <c r="T327" i="7"/>
  <c r="T33" i="7"/>
  <c r="T36" i="7"/>
  <c r="T39" i="7"/>
  <c r="T42" i="7"/>
  <c r="T45" i="7"/>
  <c r="T48" i="7"/>
  <c r="T51" i="7"/>
  <c r="T54" i="7"/>
  <c r="T57" i="7"/>
  <c r="T60" i="7"/>
  <c r="T63" i="7"/>
  <c r="T66" i="7"/>
  <c r="T69" i="7"/>
  <c r="T34" i="7"/>
  <c r="T37" i="7"/>
  <c r="T40" i="7"/>
  <c r="T43" i="7"/>
  <c r="T46" i="7"/>
  <c r="T49" i="7"/>
  <c r="T52" i="7"/>
  <c r="T55" i="7"/>
  <c r="T58" i="7"/>
  <c r="T61" i="7"/>
  <c r="T64" i="7"/>
  <c r="T67" i="7"/>
  <c r="T35" i="7"/>
  <c r="T38" i="7"/>
  <c r="T41" i="7"/>
  <c r="T44" i="7"/>
  <c r="T47" i="7"/>
  <c r="T50" i="7"/>
  <c r="T53" i="7"/>
  <c r="T56" i="7"/>
  <c r="T59" i="7"/>
  <c r="T62" i="7"/>
  <c r="T65" i="7"/>
  <c r="T68" i="7"/>
  <c r="S272" i="7"/>
  <c r="S275" i="7"/>
  <c r="S278" i="7"/>
  <c r="S281" i="7"/>
  <c r="S284" i="7"/>
  <c r="S287" i="7"/>
  <c r="S289" i="7"/>
  <c r="S292" i="7"/>
  <c r="S295" i="7"/>
  <c r="S298" i="7"/>
  <c r="S301" i="7"/>
  <c r="S304" i="7"/>
  <c r="S307" i="7"/>
  <c r="S310" i="7"/>
  <c r="S313" i="7"/>
  <c r="S316" i="7"/>
  <c r="S319" i="7"/>
  <c r="S322" i="7"/>
  <c r="S325" i="7"/>
  <c r="S328" i="7"/>
  <c r="S331" i="7"/>
  <c r="S334" i="7"/>
  <c r="S337" i="7"/>
  <c r="S340" i="7"/>
  <c r="S343" i="7"/>
  <c r="S346" i="7"/>
  <c r="S349" i="7"/>
  <c r="S352" i="7"/>
  <c r="S355" i="7"/>
  <c r="S358" i="7"/>
  <c r="S361" i="7"/>
  <c r="S364" i="7"/>
  <c r="S367" i="7"/>
  <c r="S370" i="7"/>
  <c r="S279" i="7"/>
  <c r="S273" i="7"/>
  <c r="S274" i="7"/>
  <c r="S280" i="7"/>
  <c r="S286" i="7"/>
  <c r="S290" i="7"/>
  <c r="S293" i="7"/>
  <c r="S296" i="7"/>
  <c r="S299" i="7"/>
  <c r="S302" i="7"/>
  <c r="S305" i="7"/>
  <c r="S308" i="7"/>
  <c r="S311" i="7"/>
  <c r="S314" i="7"/>
  <c r="S317" i="7"/>
  <c r="S320" i="7"/>
  <c r="S323" i="7"/>
  <c r="S326" i="7"/>
  <c r="S329" i="7"/>
  <c r="S332" i="7"/>
  <c r="S335" i="7"/>
  <c r="S338" i="7"/>
  <c r="S341" i="7"/>
  <c r="S344" i="7"/>
  <c r="S347" i="7"/>
  <c r="S350" i="7"/>
  <c r="S353" i="7"/>
  <c r="S356" i="7"/>
  <c r="S359" i="7"/>
  <c r="S362" i="7"/>
  <c r="S365" i="7"/>
  <c r="S368" i="7"/>
  <c r="S271" i="7"/>
  <c r="S277" i="7"/>
  <c r="S283" i="7"/>
  <c r="S285" i="7"/>
  <c r="S270" i="7"/>
  <c r="S297" i="7"/>
  <c r="S315" i="7"/>
  <c r="S360" i="7"/>
  <c r="S318" i="7"/>
  <c r="S324" i="7"/>
  <c r="S291" i="7"/>
  <c r="S327" i="7"/>
  <c r="S333" i="7"/>
  <c r="S339" i="7"/>
  <c r="S276" i="7"/>
  <c r="S348" i="7"/>
  <c r="S306" i="7"/>
  <c r="S354" i="7"/>
  <c r="S300" i="7"/>
  <c r="S336" i="7"/>
  <c r="S288" i="7"/>
  <c r="S282" i="7"/>
  <c r="S366" i="7"/>
  <c r="S303" i="7"/>
  <c r="S321" i="7"/>
  <c r="S351" i="7"/>
  <c r="S363" i="7"/>
  <c r="S309" i="7"/>
  <c r="S342" i="7"/>
  <c r="S294" i="7"/>
  <c r="S312" i="7"/>
  <c r="S330" i="7"/>
  <c r="S345" i="7"/>
  <c r="S357" i="7"/>
  <c r="S369" i="7"/>
  <c r="S170" i="7"/>
  <c r="S173" i="7"/>
  <c r="S176" i="7"/>
  <c r="S179" i="7"/>
  <c r="S182" i="7"/>
  <c r="S185" i="7"/>
  <c r="S188" i="7"/>
  <c r="S191" i="7"/>
  <c r="S194" i="7"/>
  <c r="S197" i="7"/>
  <c r="S200" i="7"/>
  <c r="S203" i="7"/>
  <c r="S206" i="7"/>
  <c r="S209" i="7"/>
  <c r="S212" i="7"/>
  <c r="S215" i="7"/>
  <c r="S218" i="7"/>
  <c r="S221" i="7"/>
  <c r="S224" i="7"/>
  <c r="S227" i="7"/>
  <c r="S230" i="7"/>
  <c r="S233" i="7"/>
  <c r="S236" i="7"/>
  <c r="S239" i="7"/>
  <c r="S242" i="7"/>
  <c r="S245" i="7"/>
  <c r="S248" i="7"/>
  <c r="S251" i="7"/>
  <c r="S254" i="7"/>
  <c r="S257" i="7"/>
  <c r="S260" i="7"/>
  <c r="S263" i="7"/>
  <c r="S266" i="7"/>
  <c r="S269" i="7"/>
  <c r="S183" i="7"/>
  <c r="S219" i="7"/>
  <c r="S231" i="7"/>
  <c r="S249" i="7"/>
  <c r="S261" i="7"/>
  <c r="S171" i="7"/>
  <c r="S243" i="7"/>
  <c r="S267" i="7"/>
  <c r="S177" i="7"/>
  <c r="S189" i="7"/>
  <c r="S195" i="7"/>
  <c r="S201" i="7"/>
  <c r="S207" i="7"/>
  <c r="S213" i="7"/>
  <c r="S225" i="7"/>
  <c r="S237" i="7"/>
  <c r="S255" i="7"/>
  <c r="S172" i="7"/>
  <c r="S178" i="7"/>
  <c r="S184" i="7"/>
  <c r="S190" i="7"/>
  <c r="S196" i="7"/>
  <c r="S202" i="7"/>
  <c r="S208" i="7"/>
  <c r="S214" i="7"/>
  <c r="S220" i="7"/>
  <c r="S226" i="7"/>
  <c r="S232" i="7"/>
  <c r="S238" i="7"/>
  <c r="S244" i="7"/>
  <c r="S250" i="7"/>
  <c r="S256" i="7"/>
  <c r="S262" i="7"/>
  <c r="S268" i="7"/>
  <c r="S175" i="7"/>
  <c r="S181" i="7"/>
  <c r="S187" i="7"/>
  <c r="S193" i="7"/>
  <c r="S199" i="7"/>
  <c r="S205" i="7"/>
  <c r="S211" i="7"/>
  <c r="S217" i="7"/>
  <c r="S223" i="7"/>
  <c r="S229" i="7"/>
  <c r="S235" i="7"/>
  <c r="S241" i="7"/>
  <c r="S247" i="7"/>
  <c r="S253" i="7"/>
  <c r="S259" i="7"/>
  <c r="S265" i="7"/>
  <c r="S198" i="7"/>
  <c r="S234" i="7"/>
  <c r="S204" i="7"/>
  <c r="S240" i="7"/>
  <c r="S180" i="7"/>
  <c r="S222" i="7"/>
  <c r="S174" i="7"/>
  <c r="S210" i="7"/>
  <c r="S246" i="7"/>
  <c r="S252" i="7"/>
  <c r="S258" i="7"/>
  <c r="S216" i="7"/>
  <c r="S186" i="7"/>
  <c r="S264" i="7"/>
  <c r="S192" i="7"/>
  <c r="S228" i="7"/>
  <c r="S34" i="7"/>
  <c r="S35" i="7"/>
  <c r="S38" i="7"/>
  <c r="S41" i="7"/>
  <c r="S44" i="7"/>
  <c r="S47" i="7"/>
  <c r="S50" i="7"/>
  <c r="S53" i="7"/>
  <c r="S56" i="7"/>
  <c r="S59" i="7"/>
  <c r="S62" i="7"/>
  <c r="S65" i="7"/>
  <c r="S68" i="7"/>
  <c r="S33" i="7"/>
  <c r="S37" i="7"/>
  <c r="S51" i="7"/>
  <c r="S52" i="7"/>
  <c r="S66" i="7"/>
  <c r="S48" i="7"/>
  <c r="S45" i="7"/>
  <c r="S67" i="7"/>
  <c r="S46" i="7"/>
  <c r="S60" i="7"/>
  <c r="S39" i="7"/>
  <c r="S61" i="7"/>
  <c r="S40" i="7"/>
  <c r="S54" i="7"/>
  <c r="S55" i="7"/>
  <c r="S69" i="7"/>
  <c r="S43" i="7"/>
  <c r="S57" i="7"/>
  <c r="S36" i="7"/>
  <c r="S58" i="7"/>
  <c r="S49" i="7"/>
  <c r="S63" i="7"/>
  <c r="S64" i="7"/>
  <c r="S42" i="7"/>
  <c r="T72" i="7"/>
  <c r="T75" i="7"/>
  <c r="T78" i="7"/>
  <c r="T81" i="7"/>
  <c r="T84" i="7"/>
  <c r="T87" i="7"/>
  <c r="T90" i="7"/>
  <c r="T93" i="7"/>
  <c r="T96" i="7"/>
  <c r="T99" i="7"/>
  <c r="T102" i="7"/>
  <c r="T105" i="7"/>
  <c r="T108" i="7"/>
  <c r="T111" i="7"/>
  <c r="T114" i="7"/>
  <c r="T117" i="7"/>
  <c r="T120" i="7"/>
  <c r="T123" i="7"/>
  <c r="T126" i="7"/>
  <c r="T129" i="7"/>
  <c r="T132" i="7"/>
  <c r="T135" i="7"/>
  <c r="T138" i="7"/>
  <c r="T141" i="7"/>
  <c r="T144" i="7"/>
  <c r="T147" i="7"/>
  <c r="T150" i="7"/>
  <c r="T153" i="7"/>
  <c r="T156" i="7"/>
  <c r="T159" i="7"/>
  <c r="T162" i="7"/>
  <c r="T165" i="7"/>
  <c r="T168" i="7"/>
  <c r="T70" i="7"/>
  <c r="T73" i="7"/>
  <c r="T76" i="7"/>
  <c r="T79" i="7"/>
  <c r="T82" i="7"/>
  <c r="T85" i="7"/>
  <c r="T88" i="7"/>
  <c r="T91" i="7"/>
  <c r="T94" i="7"/>
  <c r="T97" i="7"/>
  <c r="T100" i="7"/>
  <c r="T103" i="7"/>
  <c r="T106" i="7"/>
  <c r="T109" i="7"/>
  <c r="T112" i="7"/>
  <c r="T115" i="7"/>
  <c r="T118" i="7"/>
  <c r="T121" i="7"/>
  <c r="T124" i="7"/>
  <c r="T127" i="7"/>
  <c r="T130" i="7"/>
  <c r="T133" i="7"/>
  <c r="T136" i="7"/>
  <c r="T139" i="7"/>
  <c r="T142" i="7"/>
  <c r="T145" i="7"/>
  <c r="T148" i="7"/>
  <c r="T151" i="7"/>
  <c r="T154" i="7"/>
  <c r="T157" i="7"/>
  <c r="T160" i="7"/>
  <c r="T163" i="7"/>
  <c r="T166" i="7"/>
  <c r="T169" i="7"/>
  <c r="T71" i="7"/>
  <c r="T74" i="7"/>
  <c r="T77" i="7"/>
  <c r="T80" i="7"/>
  <c r="T83" i="7"/>
  <c r="T86" i="7"/>
  <c r="T89" i="7"/>
  <c r="T92" i="7"/>
  <c r="T95" i="7"/>
  <c r="T98" i="7"/>
  <c r="T101" i="7"/>
  <c r="T104" i="7"/>
  <c r="T107" i="7"/>
  <c r="T110" i="7"/>
  <c r="T113" i="7"/>
  <c r="T116" i="7"/>
  <c r="T119" i="7"/>
  <c r="T122" i="7"/>
  <c r="T125" i="7"/>
  <c r="T128" i="7"/>
  <c r="T131" i="7"/>
  <c r="T134" i="7"/>
  <c r="T137" i="7"/>
  <c r="T140" i="7"/>
  <c r="T143" i="7"/>
  <c r="T146" i="7"/>
  <c r="T149" i="7"/>
  <c r="T152" i="7"/>
  <c r="T155" i="7"/>
  <c r="T158" i="7"/>
  <c r="T161" i="7"/>
  <c r="T164" i="7"/>
  <c r="T167" i="7"/>
  <c r="R34" i="7"/>
  <c r="R37" i="7"/>
  <c r="R40" i="7"/>
  <c r="R43" i="7"/>
  <c r="R46" i="7"/>
  <c r="R49" i="7"/>
  <c r="R52" i="7"/>
  <c r="R55" i="7"/>
  <c r="R58" i="7"/>
  <c r="R61" i="7"/>
  <c r="R64" i="7"/>
  <c r="R67" i="7"/>
  <c r="R35" i="7"/>
  <c r="R33" i="7"/>
  <c r="R59" i="7"/>
  <c r="R66" i="7"/>
  <c r="R56" i="7"/>
  <c r="R38" i="7"/>
  <c r="R45" i="7"/>
  <c r="R53" i="7"/>
  <c r="R60" i="7"/>
  <c r="R63" i="7"/>
  <c r="R39" i="7"/>
  <c r="R68" i="7"/>
  <c r="R47" i="7"/>
  <c r="R54" i="7"/>
  <c r="R62" i="7"/>
  <c r="R69" i="7"/>
  <c r="R41" i="7"/>
  <c r="R48" i="7"/>
  <c r="R36" i="7"/>
  <c r="R65" i="7"/>
  <c r="R44" i="7"/>
  <c r="R51" i="7"/>
  <c r="R50" i="7"/>
  <c r="R57" i="7"/>
  <c r="R42" i="7"/>
  <c r="S71" i="7"/>
  <c r="S74" i="7"/>
  <c r="S77" i="7"/>
  <c r="S80" i="7"/>
  <c r="S83" i="7"/>
  <c r="S86" i="7"/>
  <c r="S89" i="7"/>
  <c r="S92" i="7"/>
  <c r="S95" i="7"/>
  <c r="S98" i="7"/>
  <c r="S101" i="7"/>
  <c r="S104" i="7"/>
  <c r="S107" i="7"/>
  <c r="S110" i="7"/>
  <c r="S113" i="7"/>
  <c r="S116" i="7"/>
  <c r="S119" i="7"/>
  <c r="S122" i="7"/>
  <c r="S125" i="7"/>
  <c r="S128" i="7"/>
  <c r="S131" i="7"/>
  <c r="S134" i="7"/>
  <c r="S137" i="7"/>
  <c r="S140" i="7"/>
  <c r="S143" i="7"/>
  <c r="S146" i="7"/>
  <c r="S149" i="7"/>
  <c r="S152" i="7"/>
  <c r="S155" i="7"/>
  <c r="S158" i="7"/>
  <c r="S161" i="7"/>
  <c r="S164" i="7"/>
  <c r="S167" i="7"/>
  <c r="S73" i="7"/>
  <c r="S70" i="7"/>
  <c r="S81" i="7"/>
  <c r="S87" i="7"/>
  <c r="S93" i="7"/>
  <c r="S99" i="7"/>
  <c r="S105" i="7"/>
  <c r="S111" i="7"/>
  <c r="S117" i="7"/>
  <c r="S123" i="7"/>
  <c r="S129" i="7"/>
  <c r="S135" i="7"/>
  <c r="S141" i="7"/>
  <c r="S147" i="7"/>
  <c r="S153" i="7"/>
  <c r="S159" i="7"/>
  <c r="S165" i="7"/>
  <c r="S75" i="7"/>
  <c r="S82" i="7"/>
  <c r="S88" i="7"/>
  <c r="S94" i="7"/>
  <c r="S100" i="7"/>
  <c r="S106" i="7"/>
  <c r="S112" i="7"/>
  <c r="S118" i="7"/>
  <c r="S124" i="7"/>
  <c r="S130" i="7"/>
  <c r="S136" i="7"/>
  <c r="S142" i="7"/>
  <c r="S148" i="7"/>
  <c r="S154" i="7"/>
  <c r="S160" i="7"/>
  <c r="S166" i="7"/>
  <c r="S76" i="7"/>
  <c r="S79" i="7"/>
  <c r="S85" i="7"/>
  <c r="S91" i="7"/>
  <c r="S97" i="7"/>
  <c r="S103" i="7"/>
  <c r="S109" i="7"/>
  <c r="S115" i="7"/>
  <c r="S121" i="7"/>
  <c r="S127" i="7"/>
  <c r="S133" i="7"/>
  <c r="S139" i="7"/>
  <c r="S145" i="7"/>
  <c r="S151" i="7"/>
  <c r="S157" i="7"/>
  <c r="S163" i="7"/>
  <c r="S169" i="7"/>
  <c r="S72" i="7"/>
  <c r="S90" i="7"/>
  <c r="S126" i="7"/>
  <c r="S162" i="7"/>
  <c r="S144" i="7"/>
  <c r="S150" i="7"/>
  <c r="S78" i="7"/>
  <c r="S114" i="7"/>
  <c r="S96" i="7"/>
  <c r="S132" i="7"/>
  <c r="S168" i="7"/>
  <c r="S108" i="7"/>
  <c r="S102" i="7"/>
  <c r="S138" i="7"/>
  <c r="S84" i="7"/>
  <c r="S120" i="7"/>
  <c r="S156" i="7"/>
  <c r="Q271" i="7"/>
  <c r="Q274" i="7"/>
  <c r="Q277" i="7"/>
  <c r="Q280" i="7"/>
  <c r="Q283" i="7"/>
  <c r="Q286" i="7"/>
  <c r="Q272" i="7"/>
  <c r="Q275" i="7"/>
  <c r="Q278" i="7"/>
  <c r="Q281" i="7"/>
  <c r="Q284" i="7"/>
  <c r="Q287" i="7"/>
  <c r="Q273" i="7"/>
  <c r="Q279" i="7"/>
  <c r="Q285" i="7"/>
  <c r="Q296" i="7"/>
  <c r="Q305" i="7"/>
  <c r="Q311" i="7"/>
  <c r="Q323" i="7"/>
  <c r="Q338" i="7"/>
  <c r="Q350" i="7"/>
  <c r="Q362" i="7"/>
  <c r="Q348" i="7"/>
  <c r="Q360" i="7"/>
  <c r="Q369" i="7"/>
  <c r="Q290" i="7"/>
  <c r="Q299" i="7"/>
  <c r="Q308" i="7"/>
  <c r="Q317" i="7"/>
  <c r="Q329" i="7"/>
  <c r="Q335" i="7"/>
  <c r="Q344" i="7"/>
  <c r="Q356" i="7"/>
  <c r="Q368" i="7"/>
  <c r="Q351" i="7"/>
  <c r="Q354" i="7"/>
  <c r="Q363" i="7"/>
  <c r="Q293" i="7"/>
  <c r="Q302" i="7"/>
  <c r="Q314" i="7"/>
  <c r="Q326" i="7"/>
  <c r="Q341" i="7"/>
  <c r="Q353" i="7"/>
  <c r="Q365" i="7"/>
  <c r="Q357" i="7"/>
  <c r="Q270" i="7"/>
  <c r="Q276" i="7"/>
  <c r="Q282" i="7"/>
  <c r="Q288" i="7"/>
  <c r="Q291" i="7"/>
  <c r="Q294" i="7"/>
  <c r="Q297" i="7"/>
  <c r="Q300" i="7"/>
  <c r="Q303" i="7"/>
  <c r="Q306" i="7"/>
  <c r="Q309" i="7"/>
  <c r="Q312" i="7"/>
  <c r="Q315" i="7"/>
  <c r="Q318" i="7"/>
  <c r="Q321" i="7"/>
  <c r="Q324" i="7"/>
  <c r="Q327" i="7"/>
  <c r="Q330" i="7"/>
  <c r="Q333" i="7"/>
  <c r="Q336" i="7"/>
  <c r="Q339" i="7"/>
  <c r="Q342" i="7"/>
  <c r="Q345" i="7"/>
  <c r="Q289" i="7"/>
  <c r="Q292" i="7"/>
  <c r="Q295" i="7"/>
  <c r="Q298" i="7"/>
  <c r="Q301" i="7"/>
  <c r="Q304" i="7"/>
  <c r="Q307" i="7"/>
  <c r="Q310" i="7"/>
  <c r="Q313" i="7"/>
  <c r="Q316" i="7"/>
  <c r="Q319" i="7"/>
  <c r="Q322" i="7"/>
  <c r="Q325" i="7"/>
  <c r="Q328" i="7"/>
  <c r="Q331" i="7"/>
  <c r="Q334" i="7"/>
  <c r="Q337" i="7"/>
  <c r="Q340" i="7"/>
  <c r="Q343" i="7"/>
  <c r="Q346" i="7"/>
  <c r="Q349" i="7"/>
  <c r="Q352" i="7"/>
  <c r="Q355" i="7"/>
  <c r="Q358" i="7"/>
  <c r="Q361" i="7"/>
  <c r="Q364" i="7"/>
  <c r="Q367" i="7"/>
  <c r="Q370" i="7"/>
  <c r="Q320" i="7"/>
  <c r="Q332" i="7"/>
  <c r="Q347" i="7"/>
  <c r="Q359" i="7"/>
  <c r="Q366" i="7"/>
  <c r="Q172" i="7"/>
  <c r="Q175" i="7"/>
  <c r="Q178" i="7"/>
  <c r="Q181" i="7"/>
  <c r="Q184" i="7"/>
  <c r="Q187" i="7"/>
  <c r="Q190" i="7"/>
  <c r="Q193" i="7"/>
  <c r="Q196" i="7"/>
  <c r="Q199" i="7"/>
  <c r="Q202" i="7"/>
  <c r="Q205" i="7"/>
  <c r="Q208" i="7"/>
  <c r="Q211" i="7"/>
  <c r="Q214" i="7"/>
  <c r="Q217" i="7"/>
  <c r="Q220" i="7"/>
  <c r="Q223" i="7"/>
  <c r="Q226" i="7"/>
  <c r="Q229" i="7"/>
  <c r="Q232" i="7"/>
  <c r="Q235" i="7"/>
  <c r="Q238" i="7"/>
  <c r="Q241" i="7"/>
  <c r="Q244" i="7"/>
  <c r="Q247" i="7"/>
  <c r="Q250" i="7"/>
  <c r="Q253" i="7"/>
  <c r="Q256" i="7"/>
  <c r="Q259" i="7"/>
  <c r="Q262" i="7"/>
  <c r="Q265" i="7"/>
  <c r="Q268" i="7"/>
  <c r="Q170" i="7"/>
  <c r="Q173" i="7"/>
  <c r="Q176" i="7"/>
  <c r="Q179" i="7"/>
  <c r="Q182" i="7"/>
  <c r="Q185" i="7"/>
  <c r="Q188" i="7"/>
  <c r="Q191" i="7"/>
  <c r="Q194" i="7"/>
  <c r="Q197" i="7"/>
  <c r="Q200" i="7"/>
  <c r="Q203" i="7"/>
  <c r="Q206" i="7"/>
  <c r="Q209" i="7"/>
  <c r="Q212" i="7"/>
  <c r="Q215" i="7"/>
  <c r="Q218" i="7"/>
  <c r="Q221" i="7"/>
  <c r="Q224" i="7"/>
  <c r="Q227" i="7"/>
  <c r="Q230" i="7"/>
  <c r="Q233" i="7"/>
  <c r="Q236" i="7"/>
  <c r="Q239" i="7"/>
  <c r="Q242" i="7"/>
  <c r="Q245" i="7"/>
  <c r="Q248" i="7"/>
  <c r="Q251" i="7"/>
  <c r="Q254" i="7"/>
  <c r="Q257" i="7"/>
  <c r="Q260" i="7"/>
  <c r="Q263" i="7"/>
  <c r="Q266" i="7"/>
  <c r="Q269" i="7"/>
  <c r="Q171" i="7"/>
  <c r="Q177" i="7"/>
  <c r="Q183" i="7"/>
  <c r="Q189" i="7"/>
  <c r="Q195" i="7"/>
  <c r="Q201" i="7"/>
  <c r="Q207" i="7"/>
  <c r="Q213" i="7"/>
  <c r="Q219" i="7"/>
  <c r="Q225" i="7"/>
  <c r="Q231" i="7"/>
  <c r="Q237" i="7"/>
  <c r="Q243" i="7"/>
  <c r="Q249" i="7"/>
  <c r="Q255" i="7"/>
  <c r="Q261" i="7"/>
  <c r="Q267" i="7"/>
  <c r="Q174" i="7"/>
  <c r="Q180" i="7"/>
  <c r="Q186" i="7"/>
  <c r="Q192" i="7"/>
  <c r="Q198" i="7"/>
  <c r="Q204" i="7"/>
  <c r="Q210" i="7"/>
  <c r="Q216" i="7"/>
  <c r="Q222" i="7"/>
  <c r="Q228" i="7"/>
  <c r="Q234" i="7"/>
  <c r="Q240" i="7"/>
  <c r="Q246" i="7"/>
  <c r="Q252" i="7"/>
  <c r="Q258" i="7"/>
  <c r="Q264" i="7"/>
  <c r="T171" i="7"/>
  <c r="T174" i="7"/>
  <c r="T177" i="7"/>
  <c r="T180" i="7"/>
  <c r="T183" i="7"/>
  <c r="T186" i="7"/>
  <c r="T189" i="7"/>
  <c r="T192" i="7"/>
  <c r="T195" i="7"/>
  <c r="T198" i="7"/>
  <c r="T201" i="7"/>
  <c r="T204" i="7"/>
  <c r="T207" i="7"/>
  <c r="T210" i="7"/>
  <c r="T213" i="7"/>
  <c r="T216" i="7"/>
  <c r="T219" i="7"/>
  <c r="T222" i="7"/>
  <c r="T225" i="7"/>
  <c r="T228" i="7"/>
  <c r="T231" i="7"/>
  <c r="T234" i="7"/>
  <c r="T237" i="7"/>
  <c r="T240" i="7"/>
  <c r="T243" i="7"/>
  <c r="T246" i="7"/>
  <c r="T249" i="7"/>
  <c r="T252" i="7"/>
  <c r="T255" i="7"/>
  <c r="T258" i="7"/>
  <c r="T261" i="7"/>
  <c r="T264" i="7"/>
  <c r="T267" i="7"/>
  <c r="T172" i="7"/>
  <c r="T175" i="7"/>
  <c r="T178" i="7"/>
  <c r="T181" i="7"/>
  <c r="T184" i="7"/>
  <c r="T187" i="7"/>
  <c r="T190" i="7"/>
  <c r="T193" i="7"/>
  <c r="T196" i="7"/>
  <c r="T199" i="7"/>
  <c r="T202" i="7"/>
  <c r="T205" i="7"/>
  <c r="T208" i="7"/>
  <c r="T211" i="7"/>
  <c r="T214" i="7"/>
  <c r="T217" i="7"/>
  <c r="T220" i="7"/>
  <c r="T223" i="7"/>
  <c r="T226" i="7"/>
  <c r="T229" i="7"/>
  <c r="T232" i="7"/>
  <c r="T235" i="7"/>
  <c r="T238" i="7"/>
  <c r="T241" i="7"/>
  <c r="T244" i="7"/>
  <c r="T247" i="7"/>
  <c r="T250" i="7"/>
  <c r="T253" i="7"/>
  <c r="T256" i="7"/>
  <c r="T259" i="7"/>
  <c r="T262" i="7"/>
  <c r="T265" i="7"/>
  <c r="T268" i="7"/>
  <c r="T170" i="7"/>
  <c r="T173" i="7"/>
  <c r="T176" i="7"/>
  <c r="T179" i="7"/>
  <c r="T182" i="7"/>
  <c r="T185" i="7"/>
  <c r="T188" i="7"/>
  <c r="T191" i="7"/>
  <c r="T194" i="7"/>
  <c r="T197" i="7"/>
  <c r="T200" i="7"/>
  <c r="T203" i="7"/>
  <c r="T206" i="7"/>
  <c r="T209" i="7"/>
  <c r="T212" i="7"/>
  <c r="T215" i="7"/>
  <c r="T218" i="7"/>
  <c r="T221" i="7"/>
  <c r="T224" i="7"/>
  <c r="T227" i="7"/>
  <c r="T230" i="7"/>
  <c r="T233" i="7"/>
  <c r="T236" i="7"/>
  <c r="T239" i="7"/>
  <c r="T242" i="7"/>
  <c r="T245" i="7"/>
  <c r="T248" i="7"/>
  <c r="T251" i="7"/>
  <c r="T254" i="7"/>
  <c r="T257" i="7"/>
  <c r="T260" i="7"/>
  <c r="T263" i="7"/>
  <c r="T266" i="7"/>
  <c r="T269" i="7"/>
  <c r="C15" i="8"/>
  <c r="Q70" i="7"/>
  <c r="Q73" i="7"/>
  <c r="Q76" i="7"/>
  <c r="Q79" i="7"/>
  <c r="Q82" i="7"/>
  <c r="Q85" i="7"/>
  <c r="Q88" i="7"/>
  <c r="Q91" i="7"/>
  <c r="Q94" i="7"/>
  <c r="Q97" i="7"/>
  <c r="Q100" i="7"/>
  <c r="Q103" i="7"/>
  <c r="Q106" i="7"/>
  <c r="Q109" i="7"/>
  <c r="Q112" i="7"/>
  <c r="Q115" i="7"/>
  <c r="Q118" i="7"/>
  <c r="Q121" i="7"/>
  <c r="Q124" i="7"/>
  <c r="Q127" i="7"/>
  <c r="Q130" i="7"/>
  <c r="Q133" i="7"/>
  <c r="Q136" i="7"/>
  <c r="Q139" i="7"/>
  <c r="Q142" i="7"/>
  <c r="Q145" i="7"/>
  <c r="Q148" i="7"/>
  <c r="Q151" i="7"/>
  <c r="Q154" i="7"/>
  <c r="Q157" i="7"/>
  <c r="Q160" i="7"/>
  <c r="Q163" i="7"/>
  <c r="Q166" i="7"/>
  <c r="Q169" i="7"/>
  <c r="Q71" i="7"/>
  <c r="Q74" i="7"/>
  <c r="Q77" i="7"/>
  <c r="Q80" i="7"/>
  <c r="Q83" i="7"/>
  <c r="Q86" i="7"/>
  <c r="Q89" i="7"/>
  <c r="Q92" i="7"/>
  <c r="Q95" i="7"/>
  <c r="Q98" i="7"/>
  <c r="Q101" i="7"/>
  <c r="Q104" i="7"/>
  <c r="Q107" i="7"/>
  <c r="Q110" i="7"/>
  <c r="Q113" i="7"/>
  <c r="Q116" i="7"/>
  <c r="Q119" i="7"/>
  <c r="Q122" i="7"/>
  <c r="Q125" i="7"/>
  <c r="Q128" i="7"/>
  <c r="Q131" i="7"/>
  <c r="Q134" i="7"/>
  <c r="Q137" i="7"/>
  <c r="Q140" i="7"/>
  <c r="Q143" i="7"/>
  <c r="Q146" i="7"/>
  <c r="Q149" i="7"/>
  <c r="Q152" i="7"/>
  <c r="Q155" i="7"/>
  <c r="Q158" i="7"/>
  <c r="Q161" i="7"/>
  <c r="Q164" i="7"/>
  <c r="Q167" i="7"/>
  <c r="Q81" i="7"/>
  <c r="Q87" i="7"/>
  <c r="Q93" i="7"/>
  <c r="Q99" i="7"/>
  <c r="Q105" i="7"/>
  <c r="Q111" i="7"/>
  <c r="Q117" i="7"/>
  <c r="Q123" i="7"/>
  <c r="Q129" i="7"/>
  <c r="Q135" i="7"/>
  <c r="Q141" i="7"/>
  <c r="Q147" i="7"/>
  <c r="Q153" i="7"/>
  <c r="Q159" i="7"/>
  <c r="Q165" i="7"/>
  <c r="Q78" i="7"/>
  <c r="Q75" i="7"/>
  <c r="Q84" i="7"/>
  <c r="Q90" i="7"/>
  <c r="Q96" i="7"/>
  <c r="Q102" i="7"/>
  <c r="Q108" i="7"/>
  <c r="Q114" i="7"/>
  <c r="Q120" i="7"/>
  <c r="Q126" i="7"/>
  <c r="Q132" i="7"/>
  <c r="Q138" i="7"/>
  <c r="Q144" i="7"/>
  <c r="Q150" i="7"/>
  <c r="Q156" i="7"/>
  <c r="Q162" i="7"/>
  <c r="Q168" i="7"/>
  <c r="Q72" i="7"/>
  <c r="S27" i="7"/>
  <c r="S29" i="7"/>
  <c r="S24" i="7"/>
  <c r="S26" i="7"/>
  <c r="S30" i="7"/>
  <c r="S28" i="7"/>
  <c r="S25" i="7"/>
  <c r="S32" i="7"/>
  <c r="S20" i="7"/>
  <c r="S21" i="7"/>
  <c r="S22" i="7"/>
  <c r="S23" i="7"/>
  <c r="S31" i="7"/>
  <c r="Q27" i="7"/>
  <c r="Q29" i="7"/>
  <c r="Q24" i="7"/>
  <c r="Q26" i="7"/>
  <c r="Q30" i="7"/>
  <c r="Q28" i="7"/>
  <c r="Q21" i="7"/>
  <c r="Q22" i="7"/>
  <c r="Q23" i="7"/>
  <c r="Q20" i="7"/>
  <c r="Q25" i="7"/>
  <c r="Q31" i="7"/>
  <c r="Q32" i="7"/>
  <c r="R32" i="7"/>
  <c r="R24" i="7"/>
  <c r="R26" i="7"/>
  <c r="R30" i="7"/>
  <c r="R27" i="7"/>
  <c r="R21" i="7"/>
  <c r="R29" i="7"/>
  <c r="R28" i="7"/>
  <c r="R22" i="7"/>
  <c r="R23" i="7"/>
  <c r="R20" i="7"/>
  <c r="R25" i="7"/>
  <c r="R31" i="7"/>
  <c r="T27" i="7"/>
  <c r="T32" i="7"/>
  <c r="T24" i="7"/>
  <c r="T26" i="7"/>
  <c r="T30" i="7"/>
  <c r="T28" i="7"/>
  <c r="T20" i="7"/>
  <c r="T21" i="7"/>
  <c r="T22" i="7"/>
  <c r="T23" i="7"/>
  <c r="T25" i="7"/>
  <c r="T31" i="7"/>
  <c r="T29" i="7"/>
  <c r="C4" i="7"/>
  <c r="C13" i="8"/>
  <c r="C5" i="7"/>
  <c r="C7" i="7"/>
  <c r="C8" i="7"/>
  <c r="C3" i="7"/>
  <c r="C27" i="8" s="1"/>
  <c r="E10" i="7"/>
  <c r="C9" i="7"/>
  <c r="C5" i="8" l="1"/>
  <c r="C20" i="8"/>
  <c r="C12" i="8"/>
  <c r="E11" i="7"/>
  <c r="C10" i="7"/>
  <c r="E12" i="7" l="1"/>
  <c r="C12" i="7" s="1"/>
  <c r="C11" i="7"/>
  <c r="AB70" i="11" l="1"/>
  <c r="AA70" i="11"/>
  <c r="Z70" i="11"/>
  <c r="Y70" i="11"/>
  <c r="X70" i="11"/>
  <c r="W70" i="11"/>
  <c r="V70" i="11"/>
  <c r="U70" i="11"/>
  <c r="T70" i="11"/>
  <c r="S70" i="11"/>
  <c r="R70" i="11"/>
  <c r="Q70" i="11"/>
  <c r="P70" i="11"/>
  <c r="O70" i="11"/>
  <c r="N70" i="11"/>
  <c r="M70" i="11"/>
  <c r="L70" i="11"/>
  <c r="K70" i="11"/>
  <c r="J70" i="11"/>
  <c r="I70" i="11"/>
  <c r="H70" i="11"/>
  <c r="G70" i="11"/>
  <c r="F70" i="11"/>
  <c r="E70" i="11"/>
  <c r="D70" i="11"/>
  <c r="C67" i="11"/>
  <c r="AB61" i="11"/>
  <c r="AA61" i="11"/>
  <c r="Z61" i="11"/>
  <c r="Y61" i="11"/>
  <c r="X61" i="11"/>
  <c r="W61" i="11"/>
  <c r="V61" i="11"/>
  <c r="U61" i="11"/>
  <c r="T61" i="11"/>
  <c r="S61" i="11"/>
  <c r="R61" i="11"/>
  <c r="Q61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D61" i="11"/>
  <c r="C61" i="11"/>
  <c r="C58" i="11"/>
  <c r="C49" i="11"/>
  <c r="C40" i="11"/>
  <c r="G12" i="7" l="1"/>
  <c r="G11" i="7"/>
  <c r="G10" i="7"/>
  <c r="G9" i="7"/>
  <c r="G8" i="7"/>
  <c r="G7" i="7"/>
  <c r="G6" i="7"/>
  <c r="G5" i="7"/>
  <c r="G4" i="7"/>
  <c r="G3" i="7"/>
  <c r="AB70" i="13" l="1"/>
  <c r="AA70" i="13"/>
  <c r="Z70" i="13"/>
  <c r="Y70" i="13"/>
  <c r="X70" i="13"/>
  <c r="W70" i="13"/>
  <c r="V70" i="13"/>
  <c r="U70" i="13"/>
  <c r="T70" i="13"/>
  <c r="S70" i="13"/>
  <c r="R70" i="13"/>
  <c r="Q70" i="13"/>
  <c r="P70" i="13"/>
  <c r="O70" i="13"/>
  <c r="N70" i="13"/>
  <c r="M70" i="13"/>
  <c r="L70" i="13"/>
  <c r="K70" i="13"/>
  <c r="J70" i="13"/>
  <c r="I70" i="13"/>
  <c r="H70" i="13"/>
  <c r="G70" i="13"/>
  <c r="F70" i="13"/>
  <c r="E70" i="13"/>
  <c r="D70" i="13"/>
  <c r="C67" i="13"/>
  <c r="AB61" i="13"/>
  <c r="AA61" i="13"/>
  <c r="Z61" i="13"/>
  <c r="Y61" i="13"/>
  <c r="X61" i="13"/>
  <c r="W61" i="13"/>
  <c r="V61" i="13"/>
  <c r="U61" i="13"/>
  <c r="T61" i="13"/>
  <c r="S61" i="13"/>
  <c r="R61" i="13"/>
  <c r="Q61" i="13"/>
  <c r="P61" i="13"/>
  <c r="O61" i="13"/>
  <c r="N61" i="13"/>
  <c r="M61" i="13"/>
  <c r="L61" i="13"/>
  <c r="K61" i="13"/>
  <c r="J61" i="13"/>
  <c r="I61" i="13"/>
  <c r="H61" i="13"/>
  <c r="G61" i="13"/>
  <c r="F61" i="13"/>
  <c r="E61" i="13"/>
  <c r="D61" i="13"/>
  <c r="C61" i="13"/>
  <c r="C58" i="13"/>
  <c r="C18" i="4" l="1"/>
  <c r="D71" i="11" l="1"/>
  <c r="D62" i="11"/>
  <c r="B62" i="11"/>
  <c r="C62" i="11"/>
  <c r="B71" i="11"/>
  <c r="C71" i="11"/>
  <c r="B44" i="11"/>
  <c r="B53" i="11"/>
  <c r="C62" i="13"/>
  <c r="D71" i="13"/>
  <c r="B62" i="13"/>
  <c r="B71" i="13"/>
  <c r="D62" i="13"/>
  <c r="C71" i="13"/>
  <c r="C34" i="4"/>
  <c r="C41" i="4"/>
  <c r="C42" i="4" s="1"/>
  <c r="C49" i="13" l="1"/>
  <c r="C53" i="13" s="1"/>
  <c r="C40" i="13"/>
  <c r="C44" i="13" s="1"/>
  <c r="E32" i="13"/>
  <c r="F32" i="13" s="1"/>
  <c r="G31" i="13"/>
  <c r="H31" i="13" s="1"/>
  <c r="I31" i="13" s="1"/>
  <c r="J31" i="13" s="1"/>
  <c r="K31" i="13" s="1"/>
  <c r="L31" i="13" s="1"/>
  <c r="M31" i="13" s="1"/>
  <c r="N31" i="13" s="1"/>
  <c r="O31" i="13" s="1"/>
  <c r="F31" i="13"/>
  <c r="E31" i="13"/>
  <c r="D31" i="13"/>
  <c r="C31" i="13"/>
  <c r="E23" i="13"/>
  <c r="F23" i="13" s="1"/>
  <c r="I22" i="13"/>
  <c r="J22" i="13" s="1"/>
  <c r="K22" i="13" s="1"/>
  <c r="L22" i="13" s="1"/>
  <c r="M22" i="13" s="1"/>
  <c r="N22" i="13" s="1"/>
  <c r="O22" i="13" s="1"/>
  <c r="E22" i="13"/>
  <c r="F22" i="13" s="1"/>
  <c r="G22" i="13" s="1"/>
  <c r="H22" i="13" s="1"/>
  <c r="D22" i="13"/>
  <c r="C22" i="13"/>
  <c r="E13" i="13"/>
  <c r="I12" i="13"/>
  <c r="J12" i="13" s="1"/>
  <c r="K12" i="13" s="1"/>
  <c r="L12" i="13" s="1"/>
  <c r="M12" i="13" s="1"/>
  <c r="N12" i="13" s="1"/>
  <c r="O12" i="13" s="1"/>
  <c r="E12" i="13"/>
  <c r="F12" i="13" s="1"/>
  <c r="G12" i="13" s="1"/>
  <c r="H12" i="13" s="1"/>
  <c r="D12" i="13"/>
  <c r="C12" i="13"/>
  <c r="E4" i="13"/>
  <c r="I3" i="13"/>
  <c r="J3" i="13" s="1"/>
  <c r="K3" i="13" s="1"/>
  <c r="L3" i="13" s="1"/>
  <c r="M3" i="13" s="1"/>
  <c r="N3" i="13" s="1"/>
  <c r="O3" i="13" s="1"/>
  <c r="E3" i="13"/>
  <c r="F3" i="13" s="1"/>
  <c r="G3" i="13" s="1"/>
  <c r="H3" i="13" s="1"/>
  <c r="D3" i="13"/>
  <c r="C3" i="13"/>
  <c r="F13" i="13" l="1"/>
  <c r="G32" i="13"/>
  <c r="G23" i="13"/>
  <c r="H23" i="13" s="1"/>
  <c r="F4" i="13"/>
  <c r="E23" i="11"/>
  <c r="G13" i="13" l="1"/>
  <c r="G4" i="13"/>
  <c r="H32" i="13"/>
  <c r="I23" i="13"/>
  <c r="E32" i="11"/>
  <c r="F32" i="11" s="1"/>
  <c r="G32" i="11" s="1"/>
  <c r="D31" i="11"/>
  <c r="E31" i="11" s="1"/>
  <c r="F31" i="11" s="1"/>
  <c r="G31" i="11" s="1"/>
  <c r="H31" i="11" s="1"/>
  <c r="I31" i="11" s="1"/>
  <c r="J31" i="11" s="1"/>
  <c r="K31" i="11" s="1"/>
  <c r="L31" i="11" s="1"/>
  <c r="M31" i="11" s="1"/>
  <c r="N31" i="11" s="1"/>
  <c r="O31" i="11" s="1"/>
  <c r="C31" i="11"/>
  <c r="D22" i="11"/>
  <c r="E22" i="11" s="1"/>
  <c r="F22" i="11" s="1"/>
  <c r="G22" i="11" s="1"/>
  <c r="H22" i="11" s="1"/>
  <c r="I22" i="11" s="1"/>
  <c r="J22" i="11" s="1"/>
  <c r="K22" i="11" s="1"/>
  <c r="L22" i="11" s="1"/>
  <c r="M22" i="11" s="1"/>
  <c r="N22" i="11" s="1"/>
  <c r="O22" i="11" s="1"/>
  <c r="C22" i="11"/>
  <c r="E13" i="11"/>
  <c r="D12" i="11"/>
  <c r="E12" i="11" s="1"/>
  <c r="F12" i="11" s="1"/>
  <c r="G12" i="11" s="1"/>
  <c r="H12" i="11" s="1"/>
  <c r="I12" i="11" s="1"/>
  <c r="J12" i="11" s="1"/>
  <c r="K12" i="11" s="1"/>
  <c r="L12" i="11" s="1"/>
  <c r="M12" i="11" s="1"/>
  <c r="N12" i="11" s="1"/>
  <c r="O12" i="11" s="1"/>
  <c r="C12" i="11"/>
  <c r="E4" i="11"/>
  <c r="D3" i="11"/>
  <c r="E3" i="11" s="1"/>
  <c r="F3" i="11" s="1"/>
  <c r="G3" i="11" s="1"/>
  <c r="H3" i="11" s="1"/>
  <c r="I3" i="11" s="1"/>
  <c r="J3" i="11" s="1"/>
  <c r="K3" i="11" s="1"/>
  <c r="L3" i="11" s="1"/>
  <c r="M3" i="11" s="1"/>
  <c r="N3" i="11" s="1"/>
  <c r="O3" i="11" s="1"/>
  <c r="C3" i="11"/>
  <c r="H4" i="13" l="1"/>
  <c r="I4" i="13" s="1"/>
  <c r="H13" i="13"/>
  <c r="F4" i="11"/>
  <c r="I32" i="13"/>
  <c r="J23" i="13"/>
  <c r="H32" i="11"/>
  <c r="F13" i="11"/>
  <c r="F23" i="11"/>
  <c r="C43" i="4"/>
  <c r="C39" i="4"/>
  <c r="I13" i="13" l="1"/>
  <c r="H33" i="13"/>
  <c r="H34" i="13" s="1"/>
  <c r="H35" i="13" s="1"/>
  <c r="H36" i="13" s="1"/>
  <c r="H37" i="13" s="1"/>
  <c r="H14" i="13"/>
  <c r="H15" i="13" s="1" a="1"/>
  <c r="H15" i="13" s="1"/>
  <c r="J32" i="13"/>
  <c r="I33" i="13"/>
  <c r="G4" i="11"/>
  <c r="B53" i="13"/>
  <c r="D33" i="13"/>
  <c r="C24" i="13"/>
  <c r="C14" i="13"/>
  <c r="D5" i="13"/>
  <c r="B44" i="13"/>
  <c r="D24" i="13"/>
  <c r="C33" i="13"/>
  <c r="D14" i="13"/>
  <c r="E33" i="13"/>
  <c r="C5" i="13"/>
  <c r="E24" i="13"/>
  <c r="E5" i="13"/>
  <c r="F14" i="13"/>
  <c r="F15" i="13" s="1" a="1"/>
  <c r="F15" i="13" s="1"/>
  <c r="F33" i="13"/>
  <c r="E14" i="13"/>
  <c r="F24" i="13"/>
  <c r="F25" i="13" s="1"/>
  <c r="F5" i="13"/>
  <c r="G24" i="13"/>
  <c r="G5" i="13"/>
  <c r="H24" i="13"/>
  <c r="H25" i="13" s="1"/>
  <c r="H26" i="13" s="1"/>
  <c r="G14" i="13"/>
  <c r="G15" i="13" s="1" a="1"/>
  <c r="G15" i="13" s="1"/>
  <c r="G33" i="13"/>
  <c r="I24" i="13"/>
  <c r="I25" i="13" s="1"/>
  <c r="I26" i="13" s="1"/>
  <c r="H5" i="13"/>
  <c r="J24" i="13"/>
  <c r="K23" i="13"/>
  <c r="I5" i="13"/>
  <c r="J4" i="13"/>
  <c r="F33" i="11"/>
  <c r="F34" i="11" s="1"/>
  <c r="F35" i="11" s="1"/>
  <c r="F5" i="11"/>
  <c r="E14" i="11"/>
  <c r="D33" i="11"/>
  <c r="D34" i="11" s="1"/>
  <c r="C33" i="11"/>
  <c r="D24" i="11"/>
  <c r="D25" i="11" s="1"/>
  <c r="D26" i="11" s="1"/>
  <c r="D14" i="11"/>
  <c r="E5" i="11"/>
  <c r="E7" i="11" s="1"/>
  <c r="C24" i="11"/>
  <c r="C25" i="11" s="1"/>
  <c r="C26" i="11" s="1"/>
  <c r="C14" i="11"/>
  <c r="D5" i="11"/>
  <c r="D7" i="11" s="1"/>
  <c r="E33" i="11"/>
  <c r="E34" i="11" s="1"/>
  <c r="E35" i="11" s="1"/>
  <c r="E36" i="11" s="1"/>
  <c r="E37" i="11" s="1"/>
  <c r="C5" i="11"/>
  <c r="C7" i="11" s="1"/>
  <c r="E24" i="11"/>
  <c r="G33" i="11"/>
  <c r="G34" i="11" s="1"/>
  <c r="G35" i="11" s="1"/>
  <c r="G23" i="11"/>
  <c r="F24" i="11"/>
  <c r="F25" i="11" s="1"/>
  <c r="F26" i="11" s="1"/>
  <c r="I32" i="11"/>
  <c r="H33" i="11"/>
  <c r="F14" i="11"/>
  <c r="G13" i="11"/>
  <c r="C19" i="4"/>
  <c r="F7" i="11" l="1"/>
  <c r="F15" i="11" a="1"/>
  <c r="F15" i="11" s="1"/>
  <c r="F16" i="11"/>
  <c r="E6" i="11" a="1"/>
  <c r="E6" i="11" s="1"/>
  <c r="C16" i="13"/>
  <c r="C7" i="13"/>
  <c r="D6" i="11" a="1"/>
  <c r="D6" i="11" s="1"/>
  <c r="D8" i="11" s="1"/>
  <c r="D9" i="11" s="1"/>
  <c r="D15" i="11" a="1"/>
  <c r="D15" i="11" s="1"/>
  <c r="D16" i="11"/>
  <c r="E15" i="11" a="1"/>
  <c r="E15" i="11" s="1"/>
  <c r="E16" i="11"/>
  <c r="F6" i="13" a="1"/>
  <c r="F6" i="13" s="1"/>
  <c r="F7" i="13"/>
  <c r="F16" i="13"/>
  <c r="F17" i="13" s="1"/>
  <c r="F18" i="13" s="1"/>
  <c r="C15" i="11" a="1"/>
  <c r="C15" i="11" s="1"/>
  <c r="C16" i="11"/>
  <c r="F6" i="11" a="1"/>
  <c r="F6" i="11" s="1"/>
  <c r="H16" i="13"/>
  <c r="H17" i="13" s="1"/>
  <c r="H18" i="13" s="1"/>
  <c r="H7" i="13"/>
  <c r="E16" i="13"/>
  <c r="E7" i="13"/>
  <c r="D16" i="13"/>
  <c r="D7" i="13"/>
  <c r="C6" i="11" a="1"/>
  <c r="C6" i="11" s="1"/>
  <c r="I7" i="13"/>
  <c r="G6" i="13" a="1"/>
  <c r="G6" i="13" s="1"/>
  <c r="G16" i="13"/>
  <c r="G17" i="13" s="1"/>
  <c r="G18" i="13" s="1"/>
  <c r="G7" i="13"/>
  <c r="D68" i="11"/>
  <c r="D59" i="11"/>
  <c r="D41" i="11"/>
  <c r="C51" i="11"/>
  <c r="C53" i="11" s="1"/>
  <c r="C42" i="11"/>
  <c r="C44" i="11" s="1"/>
  <c r="D50" i="11"/>
  <c r="D59" i="13"/>
  <c r="D68" i="13"/>
  <c r="I14" i="13"/>
  <c r="F26" i="13"/>
  <c r="F27" i="13" s="1"/>
  <c r="F28" i="13" s="1"/>
  <c r="G5" i="11"/>
  <c r="J13" i="13"/>
  <c r="I16" i="13" s="1"/>
  <c r="I27" i="13"/>
  <c r="I28" i="13" s="1"/>
  <c r="G25" i="13"/>
  <c r="G26" i="13" s="1"/>
  <c r="E15" i="13" a="1"/>
  <c r="E15" i="13" s="1"/>
  <c r="E6" i="13" a="1"/>
  <c r="E6" i="13" s="1"/>
  <c r="E34" i="13"/>
  <c r="E35" i="13" s="1"/>
  <c r="C15" i="13" a="1"/>
  <c r="C15" i="13" s="1"/>
  <c r="C17" i="13" s="1"/>
  <c r="C18" i="13" s="1"/>
  <c r="D34" i="13"/>
  <c r="D35" i="13" s="1"/>
  <c r="H4" i="11"/>
  <c r="D25" i="13"/>
  <c r="D26" i="13" s="1"/>
  <c r="I34" i="13"/>
  <c r="I35" i="13" s="1"/>
  <c r="D41" i="13"/>
  <c r="D40" i="13" s="1"/>
  <c r="D44" i="13" s="1"/>
  <c r="D50" i="13"/>
  <c r="D49" i="13" s="1"/>
  <c r="D53" i="13" s="1"/>
  <c r="F34" i="13"/>
  <c r="F35" i="13" s="1"/>
  <c r="E25" i="13"/>
  <c r="E26" i="13" s="1"/>
  <c r="D15" i="13" a="1"/>
  <c r="D15" i="13" s="1"/>
  <c r="J33" i="13"/>
  <c r="K32" i="13"/>
  <c r="H27" i="13"/>
  <c r="H28" i="13" s="1"/>
  <c r="G34" i="13"/>
  <c r="G35" i="13" s="1"/>
  <c r="G36" i="13" s="1"/>
  <c r="G37" i="13" s="1"/>
  <c r="C6" i="13" a="1"/>
  <c r="C6" i="13" s="1"/>
  <c r="C8" i="13" s="1"/>
  <c r="C9" i="13"/>
  <c r="C34" i="13"/>
  <c r="C35" i="13" s="1"/>
  <c r="C36" i="13"/>
  <c r="C37" i="13" s="1"/>
  <c r="D6" i="13" a="1"/>
  <c r="D6" i="13" s="1"/>
  <c r="C25" i="13"/>
  <c r="C26" i="13" s="1"/>
  <c r="J5" i="13"/>
  <c r="K4" i="13"/>
  <c r="K24" i="13"/>
  <c r="L23" i="13"/>
  <c r="J25" i="13"/>
  <c r="J26" i="13" s="1"/>
  <c r="E25" i="11"/>
  <c r="E26" i="11" s="1"/>
  <c r="F36" i="11"/>
  <c r="F37" i="11" s="1"/>
  <c r="C8" i="11"/>
  <c r="C9" i="11" s="1"/>
  <c r="C34" i="11"/>
  <c r="C35" i="11" s="1"/>
  <c r="C36" i="11"/>
  <c r="C37" i="11" s="1"/>
  <c r="D35" i="11"/>
  <c r="C27" i="11"/>
  <c r="C28" i="11" s="1"/>
  <c r="C17" i="11"/>
  <c r="C18" i="11" s="1"/>
  <c r="D27" i="11"/>
  <c r="D28" i="11" s="1"/>
  <c r="H34" i="11"/>
  <c r="H35" i="11" s="1"/>
  <c r="G36" i="11"/>
  <c r="G37" i="11" s="1"/>
  <c r="H13" i="11"/>
  <c r="G14" i="11"/>
  <c r="I33" i="11"/>
  <c r="J32" i="11"/>
  <c r="H23" i="11"/>
  <c r="G24" i="11"/>
  <c r="G25" i="11" s="1"/>
  <c r="G26" i="11" s="1"/>
  <c r="F8" i="11" l="1"/>
  <c r="F9" i="11" s="1"/>
  <c r="C27" i="13"/>
  <c r="C28" i="13" s="1"/>
  <c r="D17" i="11"/>
  <c r="D18" i="11" s="1"/>
  <c r="G7" i="11"/>
  <c r="F8" i="13"/>
  <c r="F9" i="13" s="1"/>
  <c r="D8" i="13"/>
  <c r="D9" i="13" s="1"/>
  <c r="D17" i="13"/>
  <c r="D18" i="13" s="1"/>
  <c r="E17" i="11"/>
  <c r="E18" i="11" s="1"/>
  <c r="F17" i="11"/>
  <c r="F18" i="11" s="1"/>
  <c r="G8" i="13"/>
  <c r="G9" i="13" s="1"/>
  <c r="E17" i="13"/>
  <c r="E18" i="13" s="1"/>
  <c r="E8" i="11"/>
  <c r="E9" i="11" s="1"/>
  <c r="E8" i="13"/>
  <c r="E9" i="13" s="1"/>
  <c r="G15" i="11" a="1"/>
  <c r="G15" i="11" s="1"/>
  <c r="G16" i="11"/>
  <c r="J7" i="13"/>
  <c r="G6" i="11" a="1"/>
  <c r="G6" i="11" s="1"/>
  <c r="E50" i="11"/>
  <c r="D40" i="11"/>
  <c r="D42" i="11" s="1"/>
  <c r="D44" i="11" s="1"/>
  <c r="E41" i="11"/>
  <c r="E59" i="11"/>
  <c r="D58" i="11"/>
  <c r="D49" i="11"/>
  <c r="D51" i="11" s="1"/>
  <c r="D53" i="11" s="1"/>
  <c r="D67" i="11"/>
  <c r="E68" i="11"/>
  <c r="E68" i="13"/>
  <c r="D67" i="13"/>
  <c r="D58" i="13"/>
  <c r="E59" i="13"/>
  <c r="K13" i="13"/>
  <c r="J16" i="13" s="1"/>
  <c r="J14" i="13"/>
  <c r="D27" i="13"/>
  <c r="D28" i="13" s="1"/>
  <c r="D36" i="13"/>
  <c r="D37" i="13" s="1"/>
  <c r="E27" i="13"/>
  <c r="E28" i="13" s="1"/>
  <c r="G27" i="13"/>
  <c r="G28" i="13" s="1"/>
  <c r="K33" i="13"/>
  <c r="K34" i="13" s="1"/>
  <c r="K35" i="13" s="1"/>
  <c r="K36" i="13" s="1"/>
  <c r="K37" i="13" s="1"/>
  <c r="L32" i="13"/>
  <c r="E41" i="13"/>
  <c r="E36" i="13"/>
  <c r="E37" i="13" s="1"/>
  <c r="J34" i="13"/>
  <c r="J35" i="13" s="1"/>
  <c r="J36" i="13" s="1"/>
  <c r="J37" i="13" s="1"/>
  <c r="I36" i="13"/>
  <c r="I37" i="13" s="1"/>
  <c r="F36" i="13"/>
  <c r="F37" i="13" s="1"/>
  <c r="E50" i="13"/>
  <c r="I4" i="11"/>
  <c r="H5" i="11"/>
  <c r="M23" i="13"/>
  <c r="L24" i="13"/>
  <c r="J27" i="13"/>
  <c r="J28" i="13" s="1"/>
  <c r="K25" i="13"/>
  <c r="K26" i="13" s="1"/>
  <c r="K5" i="13"/>
  <c r="L4" i="13"/>
  <c r="E27" i="11"/>
  <c r="E28" i="11" s="1"/>
  <c r="D36" i="11"/>
  <c r="D37" i="11" s="1"/>
  <c r="H36" i="11"/>
  <c r="H37" i="11" s="1"/>
  <c r="F27" i="11"/>
  <c r="F28" i="11" s="1"/>
  <c r="J33" i="11"/>
  <c r="K32" i="11"/>
  <c r="H24" i="11"/>
  <c r="H25" i="11" s="1"/>
  <c r="H26" i="11" s="1"/>
  <c r="I23" i="11"/>
  <c r="I34" i="11"/>
  <c r="I35" i="11" s="1"/>
  <c r="H14" i="11"/>
  <c r="I13" i="11"/>
  <c r="H7" i="11" l="1"/>
  <c r="G17" i="11"/>
  <c r="G18" i="11" s="1"/>
  <c r="G8" i="11"/>
  <c r="G9" i="11" s="1"/>
  <c r="H15" i="11" a="1"/>
  <c r="H15" i="11" s="1"/>
  <c r="H16" i="11"/>
  <c r="K7" i="13"/>
  <c r="E67" i="13"/>
  <c r="E58" i="13"/>
  <c r="F41" i="11"/>
  <c r="E40" i="11"/>
  <c r="E42" i="11" s="1"/>
  <c r="F50" i="11"/>
  <c r="E49" i="11"/>
  <c r="E51" i="11" s="1"/>
  <c r="F68" i="11"/>
  <c r="E69" i="11"/>
  <c r="E67" i="11"/>
  <c r="F59" i="11"/>
  <c r="E60" i="11"/>
  <c r="E62" i="11" s="1"/>
  <c r="E63" i="11" s="1"/>
  <c r="E64" i="11" s="1"/>
  <c r="E58" i="11"/>
  <c r="F68" i="13"/>
  <c r="E69" i="13"/>
  <c r="E60" i="13"/>
  <c r="E62" i="13" s="1"/>
  <c r="E63" i="13" s="1"/>
  <c r="E64" i="13" s="1"/>
  <c r="F59" i="13"/>
  <c r="L13" i="13"/>
  <c r="K16" i="13" s="1"/>
  <c r="K14" i="13"/>
  <c r="E49" i="13"/>
  <c r="E51" i="13" s="1"/>
  <c r="E53" i="13" s="1"/>
  <c r="E40" i="13"/>
  <c r="E42" i="13" s="1"/>
  <c r="E44" i="13" s="1"/>
  <c r="F41" i="13"/>
  <c r="I5" i="11"/>
  <c r="J4" i="11"/>
  <c r="F50" i="13"/>
  <c r="L33" i="13"/>
  <c r="L34" i="13" s="1"/>
  <c r="L35" i="13" s="1"/>
  <c r="M32" i="13"/>
  <c r="K27" i="13"/>
  <c r="K28" i="13" s="1"/>
  <c r="L25" i="13"/>
  <c r="L26" i="13" s="1"/>
  <c r="M4" i="13"/>
  <c r="L5" i="13"/>
  <c r="M24" i="13"/>
  <c r="N23" i="13"/>
  <c r="I36" i="11"/>
  <c r="I37" i="11" s="1"/>
  <c r="J34" i="11"/>
  <c r="J35" i="11" s="1"/>
  <c r="I14" i="11"/>
  <c r="J13" i="11"/>
  <c r="I24" i="11"/>
  <c r="I25" i="11" s="1"/>
  <c r="I26" i="11" s="1"/>
  <c r="J23" i="11"/>
  <c r="K33" i="11"/>
  <c r="L32" i="11"/>
  <c r="G27" i="11"/>
  <c r="G28" i="11" s="1"/>
  <c r="I7" i="11" l="1"/>
  <c r="H17" i="11"/>
  <c r="H18" i="11" s="1"/>
  <c r="L7" i="13"/>
  <c r="I16" i="11"/>
  <c r="F58" i="13"/>
  <c r="F67" i="13"/>
  <c r="G68" i="11"/>
  <c r="F69" i="11"/>
  <c r="F67" i="11"/>
  <c r="E44" i="11"/>
  <c r="E43" i="11" a="1"/>
  <c r="E43" i="11" s="1"/>
  <c r="F60" i="11"/>
  <c r="G59" i="11"/>
  <c r="F58" i="11"/>
  <c r="E53" i="11"/>
  <c r="E52" i="11" a="1"/>
  <c r="E52" i="11" s="1"/>
  <c r="G50" i="11"/>
  <c r="F49" i="11"/>
  <c r="F51" i="11" s="1"/>
  <c r="E71" i="11"/>
  <c r="E72" i="11" s="1"/>
  <c r="E73" i="11" s="1"/>
  <c r="G41" i="11"/>
  <c r="F40" i="11"/>
  <c r="F42" i="11" s="1"/>
  <c r="F60" i="13"/>
  <c r="G59" i="13"/>
  <c r="E71" i="13"/>
  <c r="E72" i="13" s="1"/>
  <c r="E73" i="13" s="1"/>
  <c r="F69" i="13"/>
  <c r="G68" i="13"/>
  <c r="E52" i="13" a="1"/>
  <c r="E52" i="13" s="1"/>
  <c r="E43" i="13" a="1"/>
  <c r="E43" i="13" s="1"/>
  <c r="M13" i="13"/>
  <c r="L16" i="13" s="1"/>
  <c r="L14" i="13"/>
  <c r="F49" i="13"/>
  <c r="F51" i="13" s="1"/>
  <c r="F53" i="13" s="1"/>
  <c r="F40" i="13"/>
  <c r="F42" i="13" s="1"/>
  <c r="F44" i="13" s="1"/>
  <c r="L36" i="13"/>
  <c r="L37" i="13" s="1"/>
  <c r="G41" i="13"/>
  <c r="G50" i="13"/>
  <c r="M33" i="13"/>
  <c r="M34" i="13" s="1"/>
  <c r="M35" i="13" s="1"/>
  <c r="N32" i="13"/>
  <c r="J5" i="11"/>
  <c r="K4" i="11"/>
  <c r="M5" i="13"/>
  <c r="N4" i="13"/>
  <c r="N24" i="13"/>
  <c r="O23" i="13"/>
  <c r="L27" i="13"/>
  <c r="L28" i="13" s="1"/>
  <c r="M25" i="13"/>
  <c r="M26" i="13" s="1"/>
  <c r="H27" i="11"/>
  <c r="H28" i="11" s="1"/>
  <c r="J36" i="11"/>
  <c r="J37" i="11" s="1"/>
  <c r="K34" i="11"/>
  <c r="K35" i="11" s="1"/>
  <c r="J14" i="11"/>
  <c r="K13" i="11"/>
  <c r="M32" i="11"/>
  <c r="L33" i="11"/>
  <c r="K23" i="11"/>
  <c r="J24" i="11"/>
  <c r="J25" i="11" s="1"/>
  <c r="J26" i="11" s="1"/>
  <c r="J7" i="11" l="1"/>
  <c r="J16" i="11"/>
  <c r="M7" i="13"/>
  <c r="G58" i="13"/>
  <c r="G67" i="13"/>
  <c r="G67" i="11"/>
  <c r="G58" i="11"/>
  <c r="E54" i="11"/>
  <c r="E55" i="11" s="1"/>
  <c r="E45" i="11"/>
  <c r="E46" i="11" s="1"/>
  <c r="F53" i="11"/>
  <c r="F52" i="11" a="1"/>
  <c r="F52" i="11" s="1"/>
  <c r="F44" i="11"/>
  <c r="F43" i="11" a="1"/>
  <c r="F43" i="11" s="1"/>
  <c r="H41" i="11"/>
  <c r="G40" i="11"/>
  <c r="G42" i="11" s="1"/>
  <c r="H59" i="11"/>
  <c r="G60" i="11"/>
  <c r="F62" i="11"/>
  <c r="F63" i="11" s="1"/>
  <c r="F64" i="11" s="1"/>
  <c r="F71" i="11"/>
  <c r="F72" i="11" s="1"/>
  <c r="F73" i="11" s="1"/>
  <c r="H50" i="11"/>
  <c r="G49" i="11"/>
  <c r="G51" i="11" s="1"/>
  <c r="G69" i="11"/>
  <c r="H68" i="11"/>
  <c r="F71" i="13"/>
  <c r="F72" i="13" s="1"/>
  <c r="F73" i="13" s="1"/>
  <c r="G60" i="13"/>
  <c r="H59" i="13"/>
  <c r="H68" i="13"/>
  <c r="G69" i="13"/>
  <c r="F62" i="13"/>
  <c r="F63" i="13" s="1"/>
  <c r="F64" i="13" s="1"/>
  <c r="N13" i="13"/>
  <c r="O13" i="13" s="1"/>
  <c r="F52" i="13" a="1"/>
  <c r="F52" i="13" s="1"/>
  <c r="E54" i="13"/>
  <c r="E55" i="13" s="1"/>
  <c r="E45" i="13"/>
  <c r="E46" i="13" s="1"/>
  <c r="M14" i="13"/>
  <c r="F43" i="13" a="1"/>
  <c r="F43" i="13" s="1"/>
  <c r="G49" i="13"/>
  <c r="G51" i="13" s="1"/>
  <c r="G53" i="13" s="1"/>
  <c r="G40" i="13"/>
  <c r="G42" i="13" s="1"/>
  <c r="G44" i="13" s="1"/>
  <c r="M36" i="13"/>
  <c r="M37" i="13" s="1"/>
  <c r="M27" i="13"/>
  <c r="M28" i="13" s="1"/>
  <c r="H41" i="13"/>
  <c r="L4" i="11"/>
  <c r="K5" i="11"/>
  <c r="O32" i="13"/>
  <c r="N33" i="13"/>
  <c r="H50" i="13"/>
  <c r="N5" i="13"/>
  <c r="O4" i="13"/>
  <c r="N25" i="13"/>
  <c r="N26" i="13" s="1"/>
  <c r="O24" i="13"/>
  <c r="P23" i="13"/>
  <c r="I27" i="11"/>
  <c r="I28" i="11" s="1"/>
  <c r="L34" i="11"/>
  <c r="L35" i="11" s="1"/>
  <c r="K24" i="11"/>
  <c r="K25" i="11" s="1"/>
  <c r="K26" i="11" s="1"/>
  <c r="L23" i="11"/>
  <c r="M33" i="11"/>
  <c r="N32" i="11"/>
  <c r="L13" i="11"/>
  <c r="K14" i="11"/>
  <c r="K36" i="11"/>
  <c r="K37" i="11" s="1"/>
  <c r="H58" i="13" l="1"/>
  <c r="M16" i="13"/>
  <c r="K7" i="11"/>
  <c r="K16" i="11"/>
  <c r="N16" i="13"/>
  <c r="N7" i="13"/>
  <c r="H67" i="13"/>
  <c r="F45" i="11"/>
  <c r="F46" i="11" s="1"/>
  <c r="F54" i="11"/>
  <c r="F55" i="11" s="1"/>
  <c r="G53" i="11"/>
  <c r="G52" i="11" a="1"/>
  <c r="G52" i="11" s="1"/>
  <c r="G62" i="11"/>
  <c r="G63" i="11" s="1"/>
  <c r="G64" i="11" s="1"/>
  <c r="I50" i="11"/>
  <c r="H49" i="11"/>
  <c r="H51" i="11" s="1"/>
  <c r="I59" i="11"/>
  <c r="H60" i="11"/>
  <c r="H58" i="11"/>
  <c r="G44" i="11"/>
  <c r="G43" i="11" a="1"/>
  <c r="G43" i="11" s="1"/>
  <c r="H69" i="11"/>
  <c r="I68" i="11"/>
  <c r="G71" i="11"/>
  <c r="G72" i="11" s="1"/>
  <c r="G73" i="11" s="1"/>
  <c r="H67" i="11"/>
  <c r="I41" i="11"/>
  <c r="H40" i="11"/>
  <c r="H42" i="11" s="1"/>
  <c r="H60" i="13"/>
  <c r="I59" i="13"/>
  <c r="G71" i="13"/>
  <c r="G72" i="13" s="1"/>
  <c r="G73" i="13" s="1"/>
  <c r="G62" i="13"/>
  <c r="G63" i="13" s="1"/>
  <c r="G64" i="13" s="1"/>
  <c r="H69" i="13"/>
  <c r="I68" i="13"/>
  <c r="N14" i="13"/>
  <c r="N15" i="13" s="1" a="1"/>
  <c r="N15" i="13" s="1"/>
  <c r="N17" i="13" s="1"/>
  <c r="N18" i="13" s="1"/>
  <c r="G52" i="13" a="1"/>
  <c r="G52" i="13" s="1"/>
  <c r="G43" i="13" a="1"/>
  <c r="G43" i="13" s="1"/>
  <c r="N27" i="13"/>
  <c r="N28" i="13" s="1"/>
  <c r="H49" i="13"/>
  <c r="H51" i="13" s="1"/>
  <c r="H53" i="13" s="1"/>
  <c r="H40" i="13"/>
  <c r="H42" i="13" s="1"/>
  <c r="H44" i="13" s="1"/>
  <c r="F45" i="13"/>
  <c r="F46" i="13" s="1"/>
  <c r="F54" i="13"/>
  <c r="F55" i="13" s="1"/>
  <c r="L5" i="11"/>
  <c r="M4" i="11"/>
  <c r="I41" i="13"/>
  <c r="I50" i="13"/>
  <c r="O33" i="13"/>
  <c r="P32" i="13"/>
  <c r="N34" i="13"/>
  <c r="N35" i="13" s="1"/>
  <c r="O5" i="13"/>
  <c r="P4" i="13"/>
  <c r="N6" i="13" a="1"/>
  <c r="N6" i="13" s="1"/>
  <c r="N8" i="13" s="1"/>
  <c r="N9" i="13" s="1"/>
  <c r="O25" i="13"/>
  <c r="O26" i="13" s="1"/>
  <c r="O14" i="13"/>
  <c r="P13" i="13"/>
  <c r="M34" i="11"/>
  <c r="M35" i="11" s="1"/>
  <c r="L14" i="11"/>
  <c r="M13" i="11"/>
  <c r="J27" i="11"/>
  <c r="J28" i="11" s="1"/>
  <c r="N33" i="11"/>
  <c r="O32" i="11"/>
  <c r="L24" i="11"/>
  <c r="L25" i="11" s="1"/>
  <c r="L26" i="11" s="1"/>
  <c r="M23" i="11"/>
  <c r="L36" i="11"/>
  <c r="L37" i="11" s="1"/>
  <c r="I58" i="13" l="1"/>
  <c r="L7" i="11"/>
  <c r="L16" i="11"/>
  <c r="O7" i="13"/>
  <c r="O16" i="13"/>
  <c r="I67" i="13"/>
  <c r="G54" i="11"/>
  <c r="G55" i="11" s="1"/>
  <c r="G45" i="11"/>
  <c r="G46" i="11" s="1"/>
  <c r="H53" i="11"/>
  <c r="H52" i="11" a="1"/>
  <c r="H52" i="11" s="1"/>
  <c r="H44" i="11"/>
  <c r="I69" i="11"/>
  <c r="J68" i="11"/>
  <c r="J59" i="11"/>
  <c r="I60" i="11"/>
  <c r="I67" i="11"/>
  <c r="H71" i="11"/>
  <c r="H72" i="11" s="1"/>
  <c r="H73" i="11" s="1"/>
  <c r="I58" i="11"/>
  <c r="J50" i="11"/>
  <c r="I49" i="11"/>
  <c r="I51" i="11" s="1"/>
  <c r="J41" i="11"/>
  <c r="I40" i="11"/>
  <c r="I42" i="11" s="1"/>
  <c r="H62" i="11"/>
  <c r="H63" i="11" s="1"/>
  <c r="H64" i="11" s="1"/>
  <c r="J59" i="13"/>
  <c r="I60" i="13"/>
  <c r="I69" i="13"/>
  <c r="J68" i="13"/>
  <c r="H62" i="13"/>
  <c r="H63" i="13" s="1"/>
  <c r="H64" i="13" s="1"/>
  <c r="H71" i="13"/>
  <c r="H72" i="13" s="1"/>
  <c r="H73" i="13" s="1"/>
  <c r="O27" i="13"/>
  <c r="O28" i="13" s="1"/>
  <c r="P28" i="13" s="1"/>
  <c r="N36" i="13"/>
  <c r="N37" i="13" s="1"/>
  <c r="H52" i="13" a="1"/>
  <c r="H52" i="13" s="1"/>
  <c r="I40" i="13"/>
  <c r="I42" i="13" s="1"/>
  <c r="I44" i="13" s="1"/>
  <c r="I49" i="13"/>
  <c r="I51" i="13" s="1"/>
  <c r="I53" i="13" s="1"/>
  <c r="G45" i="13"/>
  <c r="G46" i="13" s="1"/>
  <c r="G54" i="13"/>
  <c r="G55" i="13" s="1"/>
  <c r="J50" i="13"/>
  <c r="O34" i="13"/>
  <c r="O35" i="13" s="1"/>
  <c r="M5" i="11"/>
  <c r="N4" i="11"/>
  <c r="J41" i="13"/>
  <c r="O15" i="13" a="1"/>
  <c r="O15" i="13" s="1"/>
  <c r="O17" i="13" s="1"/>
  <c r="O18" i="13" s="1"/>
  <c r="O6" i="13" a="1"/>
  <c r="O6" i="13" s="1"/>
  <c r="O8" i="13" s="1"/>
  <c r="O9" i="13" s="1"/>
  <c r="M24" i="11"/>
  <c r="M25" i="11" s="1"/>
  <c r="M26" i="11" s="1"/>
  <c r="N23" i="11"/>
  <c r="N34" i="11"/>
  <c r="N35" i="11" s="1"/>
  <c r="O33" i="11"/>
  <c r="P32" i="11"/>
  <c r="M36" i="11"/>
  <c r="M37" i="11" s="1"/>
  <c r="K27" i="11"/>
  <c r="K28" i="11" s="1"/>
  <c r="M14" i="11"/>
  <c r="N13" i="11"/>
  <c r="J58" i="13" l="1"/>
  <c r="M7" i="11"/>
  <c r="M16" i="11"/>
  <c r="J58" i="11"/>
  <c r="J67" i="13"/>
  <c r="H54" i="11"/>
  <c r="H55" i="11" s="1"/>
  <c r="I44" i="11"/>
  <c r="I53" i="11"/>
  <c r="K50" i="11"/>
  <c r="J49" i="11"/>
  <c r="J51" i="11" s="1"/>
  <c r="K68" i="11"/>
  <c r="J69" i="11"/>
  <c r="K41" i="11"/>
  <c r="J40" i="11"/>
  <c r="J42" i="11" s="1"/>
  <c r="J67" i="11"/>
  <c r="I71" i="11"/>
  <c r="I72" i="11" s="1"/>
  <c r="I73" i="11" s="1"/>
  <c r="I62" i="11"/>
  <c r="I63" i="11" s="1"/>
  <c r="I64" i="11" s="1"/>
  <c r="J60" i="11"/>
  <c r="K59" i="11"/>
  <c r="I62" i="13"/>
  <c r="I63" i="13" s="1"/>
  <c r="I64" i="13" s="1"/>
  <c r="J69" i="13"/>
  <c r="K68" i="13"/>
  <c r="J60" i="13"/>
  <c r="K59" i="13"/>
  <c r="I71" i="13"/>
  <c r="I72" i="13" s="1"/>
  <c r="I73" i="13" s="1"/>
  <c r="O36" i="13"/>
  <c r="O37" i="13" s="1"/>
  <c r="P37" i="13" s="1"/>
  <c r="J40" i="13"/>
  <c r="J42" i="13" s="1"/>
  <c r="J44" i="13" s="1"/>
  <c r="J49" i="13"/>
  <c r="J51" i="13" s="1"/>
  <c r="J53" i="13" s="1"/>
  <c r="H54" i="13"/>
  <c r="H55" i="13" s="1"/>
  <c r="K41" i="13"/>
  <c r="K50" i="13"/>
  <c r="N5" i="11"/>
  <c r="O4" i="11"/>
  <c r="N36" i="11"/>
  <c r="N37" i="11" s="1"/>
  <c r="L27" i="11"/>
  <c r="L28" i="11" s="1"/>
  <c r="N14" i="11"/>
  <c r="O13" i="11"/>
  <c r="O23" i="11"/>
  <c r="N24" i="11"/>
  <c r="N25" i="11" s="1"/>
  <c r="N26" i="11" s="1"/>
  <c r="O34" i="11"/>
  <c r="O35" i="11" s="1"/>
  <c r="N7" i="11" l="1"/>
  <c r="K58" i="13"/>
  <c r="N15" i="11" a="1"/>
  <c r="N15" i="11" s="1"/>
  <c r="N17" i="11" s="1"/>
  <c r="N18" i="11" s="1"/>
  <c r="N16" i="11"/>
  <c r="K67" i="13"/>
  <c r="J53" i="11"/>
  <c r="J44" i="11"/>
  <c r="L50" i="11"/>
  <c r="K49" i="11"/>
  <c r="K51" i="11" s="1"/>
  <c r="K67" i="11"/>
  <c r="J71" i="11"/>
  <c r="J72" i="11" s="1"/>
  <c r="J73" i="11" s="1"/>
  <c r="L59" i="11"/>
  <c r="K60" i="11"/>
  <c r="K58" i="11"/>
  <c r="L68" i="11"/>
  <c r="K69" i="11"/>
  <c r="J62" i="11"/>
  <c r="J63" i="11" s="1"/>
  <c r="J64" i="11" s="1"/>
  <c r="L41" i="11"/>
  <c r="K40" i="11"/>
  <c r="K42" i="11" s="1"/>
  <c r="L59" i="13"/>
  <c r="K60" i="13"/>
  <c r="J71" i="13"/>
  <c r="J72" i="13" s="1"/>
  <c r="J73" i="13" s="1"/>
  <c r="J62" i="13"/>
  <c r="J63" i="13" s="1"/>
  <c r="J64" i="13" s="1"/>
  <c r="K69" i="13"/>
  <c r="L68" i="13"/>
  <c r="O36" i="11"/>
  <c r="O37" i="11" s="1"/>
  <c r="P37" i="11" s="1"/>
  <c r="K49" i="13"/>
  <c r="K51" i="13" s="1"/>
  <c r="K53" i="13" s="1"/>
  <c r="K40" i="13"/>
  <c r="K42" i="13" s="1"/>
  <c r="K44" i="13" s="1"/>
  <c r="N6" i="11" a="1"/>
  <c r="N6" i="11" s="1"/>
  <c r="N8" i="11" s="1"/>
  <c r="N9" i="11" s="1"/>
  <c r="L50" i="13"/>
  <c r="L41" i="13"/>
  <c r="P4" i="11"/>
  <c r="O5" i="11"/>
  <c r="O7" i="11" s="1"/>
  <c r="M27" i="11"/>
  <c r="M28" i="11" s="1"/>
  <c r="N27" i="11"/>
  <c r="N28" i="11" s="1"/>
  <c r="P13" i="11"/>
  <c r="O14" i="11"/>
  <c r="O24" i="11"/>
  <c r="O25" i="11" s="1"/>
  <c r="O26" i="11" s="1"/>
  <c r="P23" i="11"/>
  <c r="L58" i="13" l="1"/>
  <c r="O15" i="11" a="1"/>
  <c r="O15" i="11" s="1"/>
  <c r="O16" i="11"/>
  <c r="L67" i="13"/>
  <c r="K44" i="11"/>
  <c r="M68" i="11"/>
  <c r="L69" i="11"/>
  <c r="K53" i="11"/>
  <c r="L58" i="11"/>
  <c r="K62" i="11"/>
  <c r="K63" i="11" s="1"/>
  <c r="K64" i="11" s="1"/>
  <c r="L67" i="11"/>
  <c r="M41" i="11"/>
  <c r="L40" i="11"/>
  <c r="L42" i="11" s="1"/>
  <c r="K71" i="11"/>
  <c r="K72" i="11" s="1"/>
  <c r="K73" i="11" s="1"/>
  <c r="M59" i="11"/>
  <c r="L60" i="11"/>
  <c r="M50" i="11"/>
  <c r="L49" i="11"/>
  <c r="L51" i="11" s="1"/>
  <c r="K62" i="13"/>
  <c r="K63" i="13" s="1"/>
  <c r="K64" i="13" s="1"/>
  <c r="L60" i="13"/>
  <c r="M59" i="13"/>
  <c r="L69" i="13"/>
  <c r="M68" i="13"/>
  <c r="K71" i="13"/>
  <c r="K72" i="13" s="1"/>
  <c r="K73" i="13" s="1"/>
  <c r="L40" i="13"/>
  <c r="L42" i="13" s="1"/>
  <c r="L44" i="13" s="1"/>
  <c r="L49" i="13"/>
  <c r="L51" i="13" s="1"/>
  <c r="L53" i="13" s="1"/>
  <c r="M41" i="13"/>
  <c r="O6" i="11" a="1"/>
  <c r="O6" i="11" s="1"/>
  <c r="O8" i="11" s="1"/>
  <c r="O9" i="11" s="1"/>
  <c r="M50" i="13"/>
  <c r="O27" i="11"/>
  <c r="O28" i="11" s="1"/>
  <c r="P28" i="11" s="1"/>
  <c r="O17" i="11"/>
  <c r="O18" i="11" s="1"/>
  <c r="M58" i="13" l="1"/>
  <c r="M67" i="13"/>
  <c r="M67" i="11"/>
  <c r="L44" i="11"/>
  <c r="L53" i="11"/>
  <c r="L62" i="11"/>
  <c r="L63" i="11" s="1"/>
  <c r="L64" i="11" s="1"/>
  <c r="M58" i="11"/>
  <c r="M60" i="11"/>
  <c r="N59" i="11"/>
  <c r="N41" i="11"/>
  <c r="M40" i="11"/>
  <c r="M42" i="11" s="1"/>
  <c r="L71" i="11"/>
  <c r="L72" i="11" s="1"/>
  <c r="L73" i="11" s="1"/>
  <c r="N50" i="11"/>
  <c r="M49" i="11"/>
  <c r="M51" i="11" s="1"/>
  <c r="N68" i="11"/>
  <c r="M69" i="11"/>
  <c r="M60" i="13"/>
  <c r="N59" i="13"/>
  <c r="N68" i="13"/>
  <c r="M69" i="13"/>
  <c r="L62" i="13"/>
  <c r="L63" i="13" s="1"/>
  <c r="L64" i="13" s="1"/>
  <c r="L71" i="13"/>
  <c r="L72" i="13" s="1"/>
  <c r="L73" i="13" s="1"/>
  <c r="M49" i="13"/>
  <c r="M51" i="13" s="1"/>
  <c r="M53" i="13" s="1"/>
  <c r="N50" i="13"/>
  <c r="M40" i="13"/>
  <c r="M42" i="13" s="1"/>
  <c r="M44" i="13" s="1"/>
  <c r="N41" i="13"/>
  <c r="N58" i="13" l="1"/>
  <c r="N67" i="13"/>
  <c r="M53" i="11"/>
  <c r="M44" i="11"/>
  <c r="O50" i="11"/>
  <c r="N49" i="11"/>
  <c r="N51" i="11" s="1"/>
  <c r="O41" i="11"/>
  <c r="N40" i="11"/>
  <c r="N42" i="11" s="1"/>
  <c r="N58" i="11"/>
  <c r="M71" i="11"/>
  <c r="M72" i="11" s="1"/>
  <c r="M73" i="11" s="1"/>
  <c r="M62" i="11"/>
  <c r="M63" i="11" s="1"/>
  <c r="M64" i="11" s="1"/>
  <c r="O68" i="11"/>
  <c r="N69" i="11"/>
  <c r="N67" i="11"/>
  <c r="N60" i="11"/>
  <c r="O59" i="11"/>
  <c r="M71" i="13"/>
  <c r="M72" i="13" s="1"/>
  <c r="M73" i="13" s="1"/>
  <c r="N69" i="13"/>
  <c r="O68" i="13"/>
  <c r="M62" i="13"/>
  <c r="M63" i="13" s="1"/>
  <c r="M64" i="13" s="1"/>
  <c r="N60" i="13"/>
  <c r="O59" i="13"/>
  <c r="N49" i="13"/>
  <c r="N51" i="13" s="1"/>
  <c r="N53" i="13" s="1"/>
  <c r="N40" i="13"/>
  <c r="N42" i="13" s="1"/>
  <c r="N44" i="13" s="1"/>
  <c r="O41" i="13"/>
  <c r="O50" i="13"/>
  <c r="O58" i="13" l="1"/>
  <c r="O67" i="13"/>
  <c r="N53" i="11"/>
  <c r="P68" i="11"/>
  <c r="O69" i="11"/>
  <c r="N44" i="11"/>
  <c r="N62" i="11"/>
  <c r="N63" i="11" s="1"/>
  <c r="N64" i="11" s="1"/>
  <c r="O58" i="11"/>
  <c r="O67" i="11"/>
  <c r="O49" i="11"/>
  <c r="O51" i="11" s="1"/>
  <c r="P50" i="11"/>
  <c r="P59" i="11"/>
  <c r="O60" i="11"/>
  <c r="N71" i="11"/>
  <c r="N72" i="11" s="1"/>
  <c r="N73" i="11" s="1"/>
  <c r="O40" i="11"/>
  <c r="O42" i="11" s="1"/>
  <c r="P41" i="11"/>
  <c r="P59" i="13"/>
  <c r="O60" i="13"/>
  <c r="O69" i="13"/>
  <c r="P68" i="13"/>
  <c r="N62" i="13"/>
  <c r="N63" i="13" s="1"/>
  <c r="N64" i="13" s="1"/>
  <c r="N71" i="13"/>
  <c r="N72" i="13" s="1"/>
  <c r="N73" i="13" s="1"/>
  <c r="O40" i="13"/>
  <c r="O42" i="13" s="1"/>
  <c r="O44" i="13" s="1"/>
  <c r="O49" i="13"/>
  <c r="O51" i="13" s="1"/>
  <c r="O53" i="13" s="1"/>
  <c r="P50" i="13"/>
  <c r="P41" i="13"/>
  <c r="P58" i="13" l="1"/>
  <c r="P67" i="13"/>
  <c r="P67" i="11"/>
  <c r="O53" i="11"/>
  <c r="P49" i="11"/>
  <c r="P51" i="11" s="1"/>
  <c r="Q50" i="11"/>
  <c r="P58" i="11"/>
  <c r="O44" i="11"/>
  <c r="Q59" i="11"/>
  <c r="P60" i="11"/>
  <c r="Q41" i="11"/>
  <c r="P40" i="11"/>
  <c r="P42" i="11" s="1"/>
  <c r="O71" i="11"/>
  <c r="O72" i="11" s="1"/>
  <c r="O73" i="11" s="1"/>
  <c r="O62" i="11"/>
  <c r="O63" i="11" s="1"/>
  <c r="O64" i="11" s="1"/>
  <c r="Q68" i="11"/>
  <c r="P69" i="11"/>
  <c r="P69" i="13"/>
  <c r="Q68" i="13"/>
  <c r="O71" i="13"/>
  <c r="O72" i="13" s="1"/>
  <c r="O73" i="13" s="1"/>
  <c r="O62" i="13"/>
  <c r="O63" i="13" s="1"/>
  <c r="O64" i="13" s="1"/>
  <c r="Q59" i="13"/>
  <c r="P60" i="13"/>
  <c r="P49" i="13"/>
  <c r="P51" i="13" s="1"/>
  <c r="P53" i="13" s="1"/>
  <c r="P40" i="13"/>
  <c r="P42" i="13" s="1"/>
  <c r="P44" i="13" s="1"/>
  <c r="Q50" i="13"/>
  <c r="Q41" i="13"/>
  <c r="Q58" i="13" l="1"/>
  <c r="Q67" i="13"/>
  <c r="Q67" i="11"/>
  <c r="Q58" i="11"/>
  <c r="P53" i="11"/>
  <c r="P44" i="11"/>
  <c r="Q40" i="11"/>
  <c r="Q42" i="11" s="1"/>
  <c r="R41" i="11"/>
  <c r="P71" i="11"/>
  <c r="P72" i="11" s="1"/>
  <c r="P73" i="11" s="1"/>
  <c r="P62" i="11"/>
  <c r="P63" i="11" s="1"/>
  <c r="P64" i="11" s="1"/>
  <c r="Q69" i="11"/>
  <c r="R68" i="11"/>
  <c r="R59" i="11"/>
  <c r="Q60" i="11"/>
  <c r="R50" i="11"/>
  <c r="Q49" i="11"/>
  <c r="Q51" i="11" s="1"/>
  <c r="P71" i="13"/>
  <c r="P72" i="13" s="1"/>
  <c r="P73" i="13" s="1"/>
  <c r="P62" i="13"/>
  <c r="P63" i="13" s="1"/>
  <c r="P64" i="13" s="1"/>
  <c r="Q60" i="13"/>
  <c r="R59" i="13"/>
  <c r="Q69" i="13"/>
  <c r="R68" i="13"/>
  <c r="Q49" i="13"/>
  <c r="Q51" i="13" s="1"/>
  <c r="Q53" i="13" s="1"/>
  <c r="Q40" i="13"/>
  <c r="Q42" i="13" s="1"/>
  <c r="Q44" i="13" s="1"/>
  <c r="R50" i="13"/>
  <c r="R41" i="13"/>
  <c r="R58" i="13" l="1"/>
  <c r="R67" i="13"/>
  <c r="R67" i="11"/>
  <c r="R60" i="11"/>
  <c r="S59" i="11"/>
  <c r="Q44" i="11"/>
  <c r="R49" i="11"/>
  <c r="R51" i="11" s="1"/>
  <c r="S50" i="11"/>
  <c r="Q53" i="11"/>
  <c r="S41" i="11"/>
  <c r="R40" i="11"/>
  <c r="R42" i="11" s="1"/>
  <c r="Q71" i="11"/>
  <c r="Q72" i="11" s="1"/>
  <c r="Q73" i="11" s="1"/>
  <c r="Q62" i="11"/>
  <c r="Q63" i="11" s="1"/>
  <c r="Q64" i="11" s="1"/>
  <c r="R69" i="11"/>
  <c r="S68" i="11"/>
  <c r="R58" i="11"/>
  <c r="Q62" i="13"/>
  <c r="Q63" i="13" s="1"/>
  <c r="Q64" i="13" s="1"/>
  <c r="R69" i="13"/>
  <c r="S68" i="13"/>
  <c r="Q71" i="13"/>
  <c r="Q72" i="13" s="1"/>
  <c r="Q73" i="13" s="1"/>
  <c r="S59" i="13"/>
  <c r="R60" i="13"/>
  <c r="R49" i="13"/>
  <c r="R51" i="13" s="1"/>
  <c r="R53" i="13" s="1"/>
  <c r="R40" i="13"/>
  <c r="R42" i="13" s="1"/>
  <c r="R44" i="13" s="1"/>
  <c r="S41" i="13"/>
  <c r="S50" i="13"/>
  <c r="S58" i="13" l="1"/>
  <c r="S67" i="13"/>
  <c r="S58" i="11"/>
  <c r="S49" i="11"/>
  <c r="S51" i="11" s="1"/>
  <c r="T50" i="11"/>
  <c r="R62" i="11"/>
  <c r="R63" i="11" s="1"/>
  <c r="R64" i="11" s="1"/>
  <c r="S69" i="11"/>
  <c r="T68" i="11"/>
  <c r="R71" i="11"/>
  <c r="R72" i="11" s="1"/>
  <c r="R73" i="11" s="1"/>
  <c r="T41" i="11"/>
  <c r="S40" i="11"/>
  <c r="S42" i="11" s="1"/>
  <c r="R53" i="11"/>
  <c r="R52" i="11" a="1"/>
  <c r="R52" i="11" s="1"/>
  <c r="R44" i="11"/>
  <c r="R43" i="11" a="1"/>
  <c r="R43" i="11" s="1"/>
  <c r="T59" i="11"/>
  <c r="S60" i="11"/>
  <c r="S67" i="11"/>
  <c r="S60" i="13"/>
  <c r="T59" i="13"/>
  <c r="S69" i="13"/>
  <c r="T68" i="13"/>
  <c r="R71" i="13"/>
  <c r="R72" i="13" s="1"/>
  <c r="R73" i="13" s="1"/>
  <c r="R62" i="13"/>
  <c r="R63" i="13" s="1"/>
  <c r="R64" i="13" s="1"/>
  <c r="R52" i="13" a="1"/>
  <c r="R52" i="13" s="1"/>
  <c r="R54" i="13" s="1"/>
  <c r="R55" i="13" s="1"/>
  <c r="R43" i="13" a="1"/>
  <c r="R43" i="13" s="1"/>
  <c r="R45" i="13" s="1"/>
  <c r="R46" i="13" s="1"/>
  <c r="S40" i="13"/>
  <c r="S42" i="13" s="1"/>
  <c r="S44" i="13" s="1"/>
  <c r="S49" i="13"/>
  <c r="S51" i="13" s="1"/>
  <c r="S53" i="13" s="1"/>
  <c r="T50" i="13"/>
  <c r="T41" i="13"/>
  <c r="T58" i="13" l="1"/>
  <c r="T67" i="13"/>
  <c r="T58" i="11"/>
  <c r="R45" i="11"/>
  <c r="R46" i="11" s="1"/>
  <c r="R54" i="11"/>
  <c r="R55" i="11" s="1"/>
  <c r="T67" i="11"/>
  <c r="S62" i="11"/>
  <c r="S63" i="11" s="1"/>
  <c r="S64" i="11" s="1"/>
  <c r="U41" i="11"/>
  <c r="T40" i="11"/>
  <c r="T42" i="11" s="1"/>
  <c r="S53" i="11"/>
  <c r="S52" i="11" a="1"/>
  <c r="S52" i="11" s="1"/>
  <c r="U59" i="11"/>
  <c r="T60" i="11"/>
  <c r="S44" i="11"/>
  <c r="S43" i="11" a="1"/>
  <c r="S43" i="11" s="1"/>
  <c r="T69" i="11"/>
  <c r="U68" i="11"/>
  <c r="S71" i="11"/>
  <c r="S72" i="11" s="1"/>
  <c r="S73" i="11" s="1"/>
  <c r="U50" i="11"/>
  <c r="T49" i="11"/>
  <c r="T51" i="11" s="1"/>
  <c r="U68" i="13"/>
  <c r="U67" i="13" s="1"/>
  <c r="T69" i="13"/>
  <c r="S62" i="13"/>
  <c r="S63" i="13" s="1"/>
  <c r="S64" i="13" s="1"/>
  <c r="S71" i="13"/>
  <c r="S72" i="13" s="1"/>
  <c r="S73" i="13" s="1"/>
  <c r="U59" i="13"/>
  <c r="U58" i="13" s="1"/>
  <c r="T60" i="13"/>
  <c r="S52" i="13" a="1"/>
  <c r="S52" i="13" s="1"/>
  <c r="S54" i="13" s="1"/>
  <c r="S55" i="13" s="1"/>
  <c r="S43" i="13" a="1"/>
  <c r="S43" i="13" s="1"/>
  <c r="S45" i="13" s="1"/>
  <c r="S46" i="13" s="1"/>
  <c r="T49" i="13"/>
  <c r="T51" i="13" s="1"/>
  <c r="T53" i="13" s="1"/>
  <c r="T40" i="13"/>
  <c r="T42" i="13" s="1"/>
  <c r="T44" i="13" s="1"/>
  <c r="U50" i="13"/>
  <c r="U41" i="13"/>
  <c r="S45" i="11" l="1"/>
  <c r="S46" i="11" s="1"/>
  <c r="U58" i="11"/>
  <c r="U67" i="11"/>
  <c r="S54" i="11"/>
  <c r="S55" i="11" s="1"/>
  <c r="T71" i="11"/>
  <c r="T72" i="11" s="1"/>
  <c r="T73" i="11" s="1"/>
  <c r="V50" i="11"/>
  <c r="U49" i="11"/>
  <c r="U51" i="11" s="1"/>
  <c r="T44" i="11"/>
  <c r="T43" i="11" a="1"/>
  <c r="T43" i="11" s="1"/>
  <c r="V41" i="11"/>
  <c r="U40" i="11"/>
  <c r="U42" i="11" s="1"/>
  <c r="T53" i="11"/>
  <c r="T52" i="11" a="1"/>
  <c r="T52" i="11" s="1"/>
  <c r="V59" i="11"/>
  <c r="U60" i="11"/>
  <c r="V68" i="11"/>
  <c r="U69" i="11"/>
  <c r="T62" i="11"/>
  <c r="T63" i="11" s="1"/>
  <c r="T64" i="11" s="1"/>
  <c r="V68" i="13"/>
  <c r="V67" i="13" s="1"/>
  <c r="U69" i="13"/>
  <c r="T62" i="13"/>
  <c r="T63" i="13" s="1"/>
  <c r="T64" i="13" s="1"/>
  <c r="V59" i="13"/>
  <c r="V58" i="13" s="1"/>
  <c r="U60" i="13"/>
  <c r="T71" i="13"/>
  <c r="T72" i="13" s="1"/>
  <c r="T73" i="13" s="1"/>
  <c r="T52" i="13" a="1"/>
  <c r="T52" i="13" s="1"/>
  <c r="T54" i="13" s="1"/>
  <c r="T55" i="13" s="1"/>
  <c r="T43" i="13" a="1"/>
  <c r="T43" i="13" s="1"/>
  <c r="T45" i="13" s="1"/>
  <c r="T46" i="13" s="1"/>
  <c r="U49" i="13"/>
  <c r="U51" i="13" s="1"/>
  <c r="U53" i="13" s="1"/>
  <c r="U40" i="13"/>
  <c r="U42" i="13" s="1"/>
  <c r="U44" i="13" s="1"/>
  <c r="V50" i="13"/>
  <c r="V41" i="13"/>
  <c r="T54" i="11" l="1"/>
  <c r="T55" i="11" s="1"/>
  <c r="T45" i="11"/>
  <c r="T46" i="11" s="1"/>
  <c r="V58" i="11"/>
  <c r="W68" i="11"/>
  <c r="V69" i="11"/>
  <c r="U44" i="11"/>
  <c r="U43" i="11" a="1"/>
  <c r="U43" i="11" s="1"/>
  <c r="W50" i="11"/>
  <c r="V49" i="11"/>
  <c r="V51" i="11" s="1"/>
  <c r="V67" i="11"/>
  <c r="U53" i="11"/>
  <c r="U52" i="11" a="1"/>
  <c r="U52" i="11" s="1"/>
  <c r="V60" i="11"/>
  <c r="W59" i="11"/>
  <c r="U71" i="11"/>
  <c r="U72" i="11" s="1"/>
  <c r="U73" i="11" s="1"/>
  <c r="U62" i="11"/>
  <c r="U63" i="11" s="1"/>
  <c r="U64" i="11" s="1"/>
  <c r="V40" i="11"/>
  <c r="V42" i="11" s="1"/>
  <c r="W41" i="11"/>
  <c r="U71" i="13"/>
  <c r="U72" i="13" s="1"/>
  <c r="U73" i="13" s="1"/>
  <c r="V60" i="13"/>
  <c r="W59" i="13"/>
  <c r="W58" i="13" s="1"/>
  <c r="U62" i="13"/>
  <c r="U63" i="13" s="1"/>
  <c r="U64" i="13" s="1"/>
  <c r="V69" i="13"/>
  <c r="W68" i="13"/>
  <c r="W67" i="13" s="1"/>
  <c r="U52" i="13" a="1"/>
  <c r="U52" i="13" s="1"/>
  <c r="U54" i="13" s="1"/>
  <c r="U55" i="13" s="1"/>
  <c r="U43" i="13" a="1"/>
  <c r="U43" i="13" s="1"/>
  <c r="V49" i="13"/>
  <c r="V51" i="13" s="1"/>
  <c r="V53" i="13" s="1"/>
  <c r="V40" i="13"/>
  <c r="V42" i="13" s="1"/>
  <c r="V44" i="13" s="1"/>
  <c r="W50" i="13"/>
  <c r="W41" i="13"/>
  <c r="U54" i="11" l="1"/>
  <c r="U55" i="11" s="1"/>
  <c r="U45" i="11"/>
  <c r="U46" i="11" s="1"/>
  <c r="V44" i="11"/>
  <c r="V43" i="11" a="1"/>
  <c r="V43" i="11" s="1"/>
  <c r="V62" i="11"/>
  <c r="V63" i="11" s="1"/>
  <c r="V64" i="11" s="1"/>
  <c r="W49" i="11"/>
  <c r="W51" i="11" s="1"/>
  <c r="X50" i="11"/>
  <c r="X41" i="11"/>
  <c r="W40" i="11"/>
  <c r="W42" i="11" s="1"/>
  <c r="V53" i="11"/>
  <c r="V52" i="11" a="1"/>
  <c r="V52" i="11" s="1"/>
  <c r="X68" i="11"/>
  <c r="W69" i="11"/>
  <c r="W60" i="11"/>
  <c r="X59" i="11"/>
  <c r="W67" i="11"/>
  <c r="V71" i="11"/>
  <c r="V72" i="11" s="1"/>
  <c r="V73" i="11" s="1"/>
  <c r="W58" i="11"/>
  <c r="X68" i="13"/>
  <c r="X67" i="13" s="1"/>
  <c r="W69" i="13"/>
  <c r="V71" i="13"/>
  <c r="V72" i="13" s="1"/>
  <c r="V73" i="13" s="1"/>
  <c r="X59" i="13"/>
  <c r="X58" i="13" s="1"/>
  <c r="W60" i="13"/>
  <c r="V62" i="13"/>
  <c r="V63" i="13" s="1"/>
  <c r="V64" i="13" s="1"/>
  <c r="V43" i="13" a="1"/>
  <c r="V43" i="13" s="1"/>
  <c r="V45" i="13" s="1"/>
  <c r="V46" i="13" s="1"/>
  <c r="V52" i="13" a="1"/>
  <c r="V52" i="13" s="1"/>
  <c r="V54" i="13" s="1"/>
  <c r="V55" i="13" s="1"/>
  <c r="U45" i="13"/>
  <c r="U46" i="13" s="1"/>
  <c r="W49" i="13"/>
  <c r="W51" i="13" s="1"/>
  <c r="W53" i="13" s="1"/>
  <c r="W40" i="13"/>
  <c r="W42" i="13" s="1"/>
  <c r="W44" i="13" s="1"/>
  <c r="X50" i="13"/>
  <c r="X41" i="13"/>
  <c r="V54" i="11" l="1"/>
  <c r="V55" i="11" s="1"/>
  <c r="V45" i="11"/>
  <c r="V46" i="11" s="1"/>
  <c r="X67" i="11"/>
  <c r="X58" i="11"/>
  <c r="Y50" i="11"/>
  <c r="X49" i="11"/>
  <c r="X51" i="11" s="1"/>
  <c r="Y59" i="11"/>
  <c r="X60" i="11"/>
  <c r="W44" i="11"/>
  <c r="W45" i="11" s="1"/>
  <c r="W46" i="11" s="1"/>
  <c r="W43" i="11" a="1"/>
  <c r="W43" i="11" s="1"/>
  <c r="X40" i="11"/>
  <c r="X42" i="11" s="1"/>
  <c r="Y41" i="11"/>
  <c r="W62" i="11"/>
  <c r="W63" i="11" s="1"/>
  <c r="W64" i="11" s="1"/>
  <c r="W53" i="11"/>
  <c r="W54" i="11" s="1"/>
  <c r="W55" i="11" s="1"/>
  <c r="W52" i="11" a="1"/>
  <c r="W52" i="11" s="1"/>
  <c r="X69" i="11"/>
  <c r="Y68" i="11"/>
  <c r="W71" i="11"/>
  <c r="W72" i="11" s="1"/>
  <c r="W73" i="11" s="1"/>
  <c r="X60" i="13"/>
  <c r="Y59" i="13"/>
  <c r="Y58" i="13" s="1"/>
  <c r="X69" i="13"/>
  <c r="Y68" i="13"/>
  <c r="Y67" i="13" s="1"/>
  <c r="W62" i="13"/>
  <c r="W63" i="13" s="1"/>
  <c r="W64" i="13" s="1"/>
  <c r="W71" i="13"/>
  <c r="W72" i="13" s="1"/>
  <c r="W73" i="13" s="1"/>
  <c r="W52" i="13" a="1"/>
  <c r="W52" i="13" s="1"/>
  <c r="W54" i="13" s="1"/>
  <c r="W55" i="13" s="1"/>
  <c r="W43" i="13" a="1"/>
  <c r="W43" i="13" s="1"/>
  <c r="W45" i="13" s="1"/>
  <c r="W46" i="13" s="1"/>
  <c r="X49" i="13"/>
  <c r="X51" i="13" s="1"/>
  <c r="X53" i="13" s="1"/>
  <c r="X40" i="13"/>
  <c r="X42" i="13" s="1"/>
  <c r="X44" i="13" s="1"/>
  <c r="Y41" i="13"/>
  <c r="Y50" i="13"/>
  <c r="Y58" i="11" l="1"/>
  <c r="X62" i="11"/>
  <c r="X63" i="11" s="1"/>
  <c r="X64" i="11" s="1"/>
  <c r="Z68" i="11"/>
  <c r="Y69" i="11"/>
  <c r="Y60" i="11"/>
  <c r="Z59" i="11"/>
  <c r="Y67" i="11"/>
  <c r="X44" i="11"/>
  <c r="X45" i="11"/>
  <c r="X46" i="11"/>
  <c r="X43" i="11" a="1"/>
  <c r="X43" i="11" s="1"/>
  <c r="X53" i="11"/>
  <c r="X55" i="11"/>
  <c r="X54" i="11"/>
  <c r="X52" i="11" a="1"/>
  <c r="X52" i="11" s="1"/>
  <c r="X71" i="11"/>
  <c r="X72" i="11" s="1"/>
  <c r="X73" i="11" s="1"/>
  <c r="Z41" i="11"/>
  <c r="Y40" i="11"/>
  <c r="Y42" i="11" s="1"/>
  <c r="Z50" i="11"/>
  <c r="Y49" i="11"/>
  <c r="Y51" i="11" s="1"/>
  <c r="X71" i="13"/>
  <c r="X72" i="13" s="1"/>
  <c r="X73" i="13" s="1"/>
  <c r="Y60" i="13"/>
  <c r="Z59" i="13"/>
  <c r="Z58" i="13" s="1"/>
  <c r="Y69" i="13"/>
  <c r="Z68" i="13"/>
  <c r="Z67" i="13" s="1"/>
  <c r="X62" i="13"/>
  <c r="X63" i="13" s="1"/>
  <c r="X64" i="13" s="1"/>
  <c r="X52" i="13" a="1"/>
  <c r="X52" i="13" s="1"/>
  <c r="X54" i="13" s="1"/>
  <c r="X55" i="13" s="1"/>
  <c r="X43" i="13" a="1"/>
  <c r="X43" i="13" s="1"/>
  <c r="X45" i="13" s="1"/>
  <c r="X46" i="13" s="1"/>
  <c r="Y49" i="13"/>
  <c r="Y51" i="13" s="1"/>
  <c r="Y53" i="13" s="1"/>
  <c r="Y40" i="13"/>
  <c r="Y42" i="13" s="1"/>
  <c r="Y44" i="13" s="1"/>
  <c r="Z41" i="13"/>
  <c r="Z50" i="13"/>
  <c r="Z58" i="11" l="1"/>
  <c r="AA41" i="11"/>
  <c r="Z40" i="11"/>
  <c r="Z42" i="11" s="1"/>
  <c r="AA68" i="11"/>
  <c r="Z69" i="11"/>
  <c r="AA50" i="11"/>
  <c r="Z49" i="11"/>
  <c r="Z51" i="11" s="1"/>
  <c r="Y44" i="11"/>
  <c r="Y43" i="11" a="1"/>
  <c r="Y43" i="11" s="1"/>
  <c r="Y46" i="11"/>
  <c r="Y45" i="11"/>
  <c r="Z67" i="11"/>
  <c r="Y53" i="11"/>
  <c r="Y52" i="11" a="1"/>
  <c r="Y52" i="11" s="1"/>
  <c r="Y55" i="11"/>
  <c r="Y54" i="11"/>
  <c r="AA59" i="11"/>
  <c r="Z60" i="11"/>
  <c r="Y62" i="11"/>
  <c r="Y63" i="11" s="1"/>
  <c r="Y64" i="11" s="1"/>
  <c r="Y71" i="11"/>
  <c r="Y72" i="11" s="1"/>
  <c r="Y73" i="11" s="1"/>
  <c r="Y62" i="13"/>
  <c r="Y63" i="13" s="1"/>
  <c r="Y64" i="13" s="1"/>
  <c r="Z69" i="13"/>
  <c r="AA68" i="13"/>
  <c r="AA67" i="13" s="1"/>
  <c r="Y71" i="13"/>
  <c r="Y72" i="13" s="1"/>
  <c r="Y73" i="13" s="1"/>
  <c r="Z60" i="13"/>
  <c r="AA59" i="13"/>
  <c r="AA58" i="13" s="1"/>
  <c r="Y43" i="13" a="1"/>
  <c r="Y43" i="13" s="1"/>
  <c r="Y52" i="13" a="1"/>
  <c r="Y52" i="13" s="1"/>
  <c r="Z40" i="13"/>
  <c r="Z42" i="13" s="1"/>
  <c r="Z44" i="13" s="1"/>
  <c r="Z49" i="13"/>
  <c r="Z51" i="13" s="1"/>
  <c r="Z53" i="13" s="1"/>
  <c r="Y46" i="13"/>
  <c r="Y45" i="13"/>
  <c r="Y55" i="13"/>
  <c r="Y54" i="13"/>
  <c r="AA41" i="13"/>
  <c r="AA50" i="13"/>
  <c r="AA58" i="11" l="1"/>
  <c r="AA67" i="11"/>
  <c r="Z62" i="11"/>
  <c r="Z63" i="11" s="1"/>
  <c r="Z64" i="11" s="1"/>
  <c r="AB59" i="11"/>
  <c r="AB60" i="11" s="1"/>
  <c r="AA60" i="11"/>
  <c r="Z71" i="11"/>
  <c r="Z72" i="11" s="1"/>
  <c r="Z73" i="11" s="1"/>
  <c r="Z44" i="11"/>
  <c r="Z45" i="11"/>
  <c r="Z46" i="11"/>
  <c r="Z43" i="11" a="1"/>
  <c r="Z43" i="11" s="1"/>
  <c r="AA40" i="11"/>
  <c r="AA42" i="11" s="1"/>
  <c r="AB41" i="11"/>
  <c r="AB68" i="11"/>
  <c r="AB69" i="11" s="1"/>
  <c r="AA69" i="11"/>
  <c r="Z53" i="11"/>
  <c r="Z54" i="11"/>
  <c r="Z52" i="11" a="1"/>
  <c r="Z52" i="11" s="1"/>
  <c r="Z55" i="11"/>
  <c r="AA49" i="11"/>
  <c r="AA51" i="11" s="1"/>
  <c r="AB50" i="11"/>
  <c r="AA69" i="13"/>
  <c r="AB68" i="13"/>
  <c r="AB67" i="13" s="1"/>
  <c r="Z62" i="13"/>
  <c r="Z63" i="13" s="1"/>
  <c r="Z64" i="13" s="1"/>
  <c r="Z71" i="13"/>
  <c r="Z72" i="13" s="1"/>
  <c r="Z73" i="13" s="1"/>
  <c r="AA60" i="13"/>
  <c r="AB59" i="13"/>
  <c r="AB58" i="13" s="1"/>
  <c r="Z43" i="13" a="1"/>
  <c r="Z43" i="13" s="1"/>
  <c r="Z52" i="13" a="1"/>
  <c r="Z52" i="13" s="1"/>
  <c r="AA49" i="13"/>
  <c r="AA51" i="13" s="1"/>
  <c r="AA53" i="13" s="1"/>
  <c r="AA40" i="13"/>
  <c r="AA42" i="13" s="1"/>
  <c r="AA44" i="13" s="1"/>
  <c r="AB50" i="13"/>
  <c r="Z45" i="13"/>
  <c r="Z46" i="13"/>
  <c r="Z54" i="13"/>
  <c r="Z55" i="13"/>
  <c r="AB41" i="13"/>
  <c r="AB49" i="11" l="1"/>
  <c r="AB51" i="11" s="1"/>
  <c r="AB71" i="11"/>
  <c r="AB72" i="11" s="1"/>
  <c r="AB73" i="11" s="1"/>
  <c r="AA44" i="11"/>
  <c r="AA46" i="11"/>
  <c r="AA45" i="11"/>
  <c r="AA43" i="11" a="1"/>
  <c r="AA43" i="11" s="1"/>
  <c r="AA53" i="11"/>
  <c r="AA55" i="11"/>
  <c r="AA54" i="11"/>
  <c r="AA52" i="11" a="1"/>
  <c r="AA52" i="11" s="1"/>
  <c r="AB58" i="11"/>
  <c r="AB67" i="11"/>
  <c r="AB62" i="11"/>
  <c r="AB63" i="11" s="1"/>
  <c r="AB64" i="11" s="1"/>
  <c r="AA71" i="11"/>
  <c r="AA72" i="11" s="1"/>
  <c r="AA73" i="11" s="1"/>
  <c r="AB40" i="11"/>
  <c r="AB42" i="11" s="1"/>
  <c r="AA62" i="11"/>
  <c r="AA63" i="11" s="1"/>
  <c r="AA64" i="11" s="1"/>
  <c r="AA62" i="13"/>
  <c r="AA63" i="13" s="1"/>
  <c r="AA64" i="13" s="1"/>
  <c r="AC68" i="11"/>
  <c r="AB69" i="13"/>
  <c r="AC68" i="13"/>
  <c r="AA71" i="13"/>
  <c r="AA72" i="13" s="1"/>
  <c r="AA73" i="13" s="1"/>
  <c r="AB60" i="13"/>
  <c r="AC59" i="13"/>
  <c r="AC59" i="11"/>
  <c r="AA52" i="13" a="1"/>
  <c r="AA52" i="13" s="1"/>
  <c r="AA43" i="13" a="1"/>
  <c r="AA43" i="13" s="1"/>
  <c r="AB40" i="13"/>
  <c r="AB42" i="13" s="1"/>
  <c r="AB44" i="13" s="1"/>
  <c r="AB49" i="13"/>
  <c r="AB51" i="13" s="1"/>
  <c r="AB53" i="13" s="1"/>
  <c r="AA46" i="13"/>
  <c r="AA45" i="13"/>
  <c r="AC50" i="13"/>
  <c r="AA55" i="13"/>
  <c r="AA54" i="13"/>
  <c r="AC41" i="13"/>
  <c r="AC50" i="11"/>
  <c r="AC41" i="11"/>
  <c r="AB44" i="11" l="1"/>
  <c r="AB45" i="11"/>
  <c r="AB46" i="11"/>
  <c r="AB43" i="11" a="1"/>
  <c r="AB43" i="11" s="1"/>
  <c r="AB53" i="11"/>
  <c r="AB55" i="11"/>
  <c r="AB54" i="11"/>
  <c r="AB52" i="11" a="1"/>
  <c r="AB52" i="11" s="1"/>
  <c r="AC64" i="11"/>
  <c r="AB62" i="13"/>
  <c r="AB63" i="13" s="1"/>
  <c r="AB64" i="13" s="1"/>
  <c r="AC64" i="13" s="1"/>
  <c r="AB71" i="13"/>
  <c r="AB72" i="13" s="1"/>
  <c r="AB73" i="13" s="1"/>
  <c r="AC73" i="13" s="1"/>
  <c r="AC73" i="11"/>
  <c r="AB43" i="13" a="1"/>
  <c r="AB43" i="13" s="1"/>
  <c r="AB52" i="13" a="1"/>
  <c r="AB52" i="13" s="1"/>
  <c r="AB46" i="13"/>
  <c r="AB45" i="13"/>
  <c r="AB55" i="13"/>
  <c r="AB54" i="13"/>
  <c r="I6" i="13" l="1" a="1"/>
  <c r="I6" i="13" s="1"/>
  <c r="I8" i="13" s="1"/>
  <c r="I9" i="13" s="1"/>
  <c r="H6" i="13" a="1"/>
  <c r="H6" i="13" s="1"/>
  <c r="H8" i="13" s="1"/>
  <c r="H9" i="13" s="1"/>
  <c r="N43" i="11" a="1"/>
  <c r="N43" i="11" s="1"/>
  <c r="N45" i="11" s="1"/>
  <c r="N46" i="11" s="1"/>
  <c r="L43" i="13" a="1"/>
  <c r="L43" i="13" s="1"/>
  <c r="L45" i="13" s="1"/>
  <c r="L46" i="13" s="1"/>
  <c r="K52" i="13" a="1"/>
  <c r="K52" i="13" s="1"/>
  <c r="K54" i="13" s="1"/>
  <c r="K55" i="13" s="1"/>
  <c r="C35" i="4"/>
  <c r="H6" i="11" a="1"/>
  <c r="H6" i="11" s="1"/>
  <c r="H8" i="11" s="1"/>
  <c r="H9" i="11" s="1"/>
  <c r="I43" i="13" a="1"/>
  <c r="I43" i="13" s="1"/>
  <c r="I45" i="13" s="1"/>
  <c r="I46" i="13" s="1"/>
  <c r="N52" i="11" a="1"/>
  <c r="N52" i="11" s="1"/>
  <c r="N54" i="11" s="1"/>
  <c r="N55" i="11" s="1"/>
  <c r="K52" i="11" a="1"/>
  <c r="K52" i="11" s="1"/>
  <c r="K54" i="11" s="1"/>
  <c r="K55" i="11" s="1"/>
  <c r="J15" i="11" a="1"/>
  <c r="J15" i="11" s="1"/>
  <c r="J17" i="11" s="1"/>
  <c r="J18" i="11" s="1"/>
  <c r="L15" i="11" a="1"/>
  <c r="L15" i="11" s="1"/>
  <c r="L17" i="11" s="1"/>
  <c r="L18" i="11" s="1"/>
  <c r="Q43" i="11" a="1"/>
  <c r="Q43" i="11" s="1"/>
  <c r="Q45" i="11" s="1"/>
  <c r="Q46" i="11" s="1"/>
  <c r="N52" i="13" a="1"/>
  <c r="N52" i="13" s="1"/>
  <c r="N54" i="13" s="1"/>
  <c r="N55" i="13" s="1"/>
  <c r="L6" i="11" a="1"/>
  <c r="L6" i="11" s="1"/>
  <c r="L8" i="11" s="1"/>
  <c r="L9" i="11" s="1"/>
  <c r="K43" i="13" a="1"/>
  <c r="K43" i="13" s="1"/>
  <c r="K45" i="13" s="1"/>
  <c r="K46" i="13" s="1"/>
  <c r="Q52" i="11" a="1"/>
  <c r="Q52" i="11" s="1"/>
  <c r="Q54" i="11" s="1"/>
  <c r="Q55" i="11" s="1"/>
  <c r="Q52" i="13" a="1"/>
  <c r="Q52" i="13" s="1"/>
  <c r="Q54" i="13" s="1"/>
  <c r="Q55" i="13" s="1"/>
  <c r="H43" i="13" a="1"/>
  <c r="H43" i="13" s="1"/>
  <c r="H45" i="13" s="1"/>
  <c r="H46" i="13" s="1"/>
  <c r="I52" i="11" a="1"/>
  <c r="I52" i="11" s="1"/>
  <c r="I54" i="11" s="1"/>
  <c r="I55" i="11" s="1"/>
  <c r="M6" i="11" a="1"/>
  <c r="M6" i="11" s="1"/>
  <c r="M8" i="11" s="1"/>
  <c r="M9" i="11" s="1"/>
  <c r="K43" i="11" a="1"/>
  <c r="K43" i="11" s="1"/>
  <c r="K45" i="11" s="1"/>
  <c r="K46" i="11" s="1"/>
  <c r="O52" i="11" a="1"/>
  <c r="O52" i="11" s="1"/>
  <c r="O54" i="11" s="1"/>
  <c r="O55" i="11" s="1"/>
  <c r="L43" i="11" a="1"/>
  <c r="L43" i="11" s="1"/>
  <c r="L45" i="11" s="1"/>
  <c r="L46" i="11" s="1"/>
  <c r="L52" i="11" a="1"/>
  <c r="L52" i="11" s="1"/>
  <c r="L54" i="11" s="1"/>
  <c r="L55" i="11" s="1"/>
  <c r="Q43" i="13" a="1"/>
  <c r="Q43" i="13" s="1"/>
  <c r="Q45" i="13" s="1"/>
  <c r="Q46" i="13" s="1"/>
  <c r="O43" i="11" a="1"/>
  <c r="O43" i="11" s="1"/>
  <c r="O45" i="11" s="1"/>
  <c r="O46" i="11" s="1"/>
  <c r="J43" i="13" a="1"/>
  <c r="J43" i="13" s="1"/>
  <c r="J45" i="13" s="1"/>
  <c r="J46" i="13" s="1"/>
  <c r="I6" i="11" a="1"/>
  <c r="I6" i="11" s="1"/>
  <c r="I8" i="11" s="1"/>
  <c r="I9" i="11" s="1"/>
  <c r="K15" i="13" a="1"/>
  <c r="K15" i="13" s="1"/>
  <c r="K17" i="13" s="1"/>
  <c r="K18" i="13" s="1"/>
  <c r="M15" i="11" a="1"/>
  <c r="M15" i="11" s="1"/>
  <c r="M17" i="11" s="1"/>
  <c r="M18" i="11" s="1"/>
  <c r="I52" i="13" a="1"/>
  <c r="I52" i="13" s="1"/>
  <c r="I54" i="13" s="1"/>
  <c r="I55" i="13" s="1"/>
  <c r="I43" i="11" a="1"/>
  <c r="I43" i="11" s="1"/>
  <c r="I45" i="11" s="1"/>
  <c r="I46" i="11" s="1"/>
  <c r="J52" i="11" a="1"/>
  <c r="J52" i="11" s="1"/>
  <c r="J54" i="11" s="1"/>
  <c r="J55" i="11" s="1"/>
  <c r="O52" i="13" a="1"/>
  <c r="O52" i="13" s="1"/>
  <c r="O54" i="13" s="1"/>
  <c r="O55" i="13" s="1"/>
  <c r="I15" i="13" a="1"/>
  <c r="I15" i="13" s="1"/>
  <c r="I17" i="13" s="1"/>
  <c r="I18" i="13" s="1"/>
  <c r="J43" i="11" a="1"/>
  <c r="J43" i="11" s="1"/>
  <c r="J45" i="11" s="1"/>
  <c r="J46" i="11" s="1"/>
  <c r="M6" i="13" a="1"/>
  <c r="M6" i="13" s="1"/>
  <c r="M8" i="13" s="1"/>
  <c r="M9" i="13" s="1"/>
  <c r="P43" i="11" a="1"/>
  <c r="P43" i="11" s="1"/>
  <c r="P45" i="11" s="1"/>
  <c r="P46" i="11" s="1"/>
  <c r="L52" i="13" a="1"/>
  <c r="L52" i="13" s="1"/>
  <c r="L54" i="13" s="1"/>
  <c r="L55" i="13" s="1"/>
  <c r="J15" i="13" a="1"/>
  <c r="J15" i="13" s="1"/>
  <c r="J17" i="13" s="1"/>
  <c r="J18" i="13" s="1"/>
  <c r="J52" i="13" a="1"/>
  <c r="J52" i="13" s="1"/>
  <c r="J54" i="13" s="1"/>
  <c r="J55" i="13" s="1"/>
  <c r="O43" i="13" a="1"/>
  <c r="O43" i="13" s="1"/>
  <c r="O45" i="13" s="1"/>
  <c r="O46" i="13" s="1"/>
  <c r="M43" i="11" a="1"/>
  <c r="M43" i="11" s="1"/>
  <c r="M45" i="11" s="1"/>
  <c r="M46" i="11" s="1"/>
  <c r="N43" i="13" a="1"/>
  <c r="N43" i="13" s="1"/>
  <c r="N45" i="13" s="1"/>
  <c r="N46" i="13" s="1"/>
  <c r="M52" i="11" a="1"/>
  <c r="M52" i="11" s="1"/>
  <c r="M54" i="11" s="1"/>
  <c r="M55" i="11" s="1"/>
  <c r="K6" i="11" a="1"/>
  <c r="K6" i="11" s="1"/>
  <c r="K8" i="11" s="1"/>
  <c r="K9" i="11" s="1"/>
  <c r="K15" i="11" a="1"/>
  <c r="K15" i="11" s="1"/>
  <c r="K17" i="11" s="1"/>
  <c r="K18" i="11" s="1"/>
  <c r="P52" i="11" a="1"/>
  <c r="P52" i="11" s="1"/>
  <c r="P54" i="11" s="1"/>
  <c r="P55" i="11" s="1"/>
  <c r="L15" i="13" a="1"/>
  <c r="L15" i="13" s="1"/>
  <c r="L17" i="13" s="1"/>
  <c r="L18" i="13" s="1"/>
  <c r="J6" i="13" a="1"/>
  <c r="J6" i="13" s="1"/>
  <c r="J8" i="13" s="1"/>
  <c r="J9" i="13" s="1"/>
  <c r="I15" i="11" a="1"/>
  <c r="I15" i="11" s="1"/>
  <c r="I17" i="11" s="1"/>
  <c r="I18" i="11" s="1"/>
  <c r="H43" i="11" a="1"/>
  <c r="H43" i="11" s="1"/>
  <c r="H45" i="11" s="1"/>
  <c r="H46" i="11" s="1"/>
  <c r="P43" i="13" a="1"/>
  <c r="P43" i="13" s="1"/>
  <c r="P45" i="13" s="1"/>
  <c r="P46" i="13" s="1"/>
  <c r="M52" i="13" a="1"/>
  <c r="M52" i="13" s="1"/>
  <c r="M54" i="13" s="1"/>
  <c r="M55" i="13" s="1"/>
  <c r="K6" i="13" a="1"/>
  <c r="K6" i="13" s="1"/>
  <c r="K8" i="13" s="1"/>
  <c r="K9" i="13" s="1"/>
  <c r="J6" i="11" a="1"/>
  <c r="J6" i="11" s="1"/>
  <c r="J8" i="11" s="1"/>
  <c r="J9" i="11" s="1"/>
  <c r="L6" i="13" a="1"/>
  <c r="L6" i="13" s="1"/>
  <c r="L8" i="13" s="1"/>
  <c r="L9" i="13" s="1"/>
  <c r="P52" i="13" a="1"/>
  <c r="P52" i="13" s="1"/>
  <c r="P54" i="13" s="1"/>
  <c r="P55" i="13" s="1"/>
  <c r="M43" i="13" a="1"/>
  <c r="M43" i="13" s="1"/>
  <c r="M45" i="13" s="1"/>
  <c r="M46" i="13" s="1"/>
  <c r="M15" i="13" a="1"/>
  <c r="M15" i="13" s="1"/>
  <c r="M17" i="13" s="1"/>
  <c r="M18" i="13" s="1"/>
  <c r="P18" i="11" l="1"/>
  <c r="AC55" i="11"/>
  <c r="AC46" i="13"/>
  <c r="AC55" i="13"/>
  <c r="AC46" i="11"/>
  <c r="P18" i="13"/>
  <c r="P9" i="11"/>
  <c r="P9" i="13"/>
  <c r="F12" i="8" l="1"/>
  <c r="F20" i="8"/>
  <c r="K18" i="8" s="1"/>
  <c r="F27" i="8" a="1"/>
  <c r="F27" i="8" s="1"/>
  <c r="K19" i="8" s="1"/>
  <c r="F5" i="8"/>
  <c r="K3" i="8" s="1"/>
  <c r="H17" i="4" l="1" a="1"/>
  <c r="H17" i="4" s="1"/>
  <c r="J17" i="4"/>
  <c r="N19" i="8"/>
  <c r="K4" i="8"/>
  <c r="H16" i="4" s="1" a="1"/>
  <c r="H16" i="4" s="1"/>
  <c r="N4" i="8" l="1"/>
  <c r="J1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tc={603956F3-9F17-4D68-8854-BC6254F91232}</author>
  </authors>
  <commentList>
    <comment ref="F5" authorId="0" shapeId="0" xr:uid="{603956F3-9F17-4D68-8854-BC6254F91232}">
      <text>
        <t>[Threaded comment]
Your version of Excel allows you to read this threaded comment; however, any edits to it will get removed if the file is opened in a newer version of Excel. Learn more: https://go.microsoft.com/fwlink/?linkid=870924
Comment:
    i is zero here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<sst xmlns="http://schemas.openxmlformats.org/spreadsheetml/2006/main" count="272" uniqueCount="130">
  <si>
    <t xml:space="preserve">cow age </t>
  </si>
  <si>
    <t>Prob (live calf)</t>
  </si>
  <si>
    <t>Prob (open)</t>
  </si>
  <si>
    <t>Prob(unsound)</t>
  </si>
  <si>
    <t>Prob(death)</t>
  </si>
  <si>
    <t>Age of dam</t>
  </si>
  <si>
    <t>WW ajustment str</t>
  </si>
  <si>
    <t>WW ajustment hft</t>
  </si>
  <si>
    <t>Avg WW adj</t>
  </si>
  <si>
    <t>Start weight</t>
  </si>
  <si>
    <t>End weight</t>
  </si>
  <si>
    <t>price slide</t>
  </si>
  <si>
    <t>Price Adj 2 yr</t>
  </si>
  <si>
    <t>Price Adj 3 yr</t>
  </si>
  <si>
    <t>Price Adj 4 yr</t>
  </si>
  <si>
    <t>Price Adj11 yr</t>
  </si>
  <si>
    <t>Original Weight</t>
  </si>
  <si>
    <t>Age cow open</t>
  </si>
  <si>
    <t>Production year cow open</t>
  </si>
  <si>
    <t>on</t>
  </si>
  <si>
    <t>Year cow replaced by heifer</t>
  </si>
  <si>
    <t>rn</t>
  </si>
  <si>
    <t>H</t>
  </si>
  <si>
    <t>PurH</t>
  </si>
  <si>
    <t>rev</t>
  </si>
  <si>
    <t>vcc</t>
  </si>
  <si>
    <t>Cash flow</t>
  </si>
  <si>
    <t>P</t>
  </si>
  <si>
    <t>S</t>
  </si>
  <si>
    <t>PC</t>
  </si>
  <si>
    <t>Cow age</t>
  </si>
  <si>
    <t>Age</t>
  </si>
  <si>
    <t>PCO</t>
  </si>
  <si>
    <t>PH</t>
  </si>
  <si>
    <t>i</t>
  </si>
  <si>
    <t>inputs with button</t>
  </si>
  <si>
    <t>input name</t>
  </si>
  <si>
    <t>final output</t>
  </si>
  <si>
    <t>point of interest</t>
  </si>
  <si>
    <t>timline</t>
  </si>
  <si>
    <t>formula or name/title</t>
  </si>
  <si>
    <t>Open Cow NPV (Calve again)</t>
  </si>
  <si>
    <t>Cow age (j)</t>
  </si>
  <si>
    <t>Production Year (n)</t>
  </si>
  <si>
    <t>Discounted factor for each cash flow</t>
  </si>
  <si>
    <t>P+S</t>
  </si>
  <si>
    <t>Discounted cash flows</t>
  </si>
  <si>
    <t>Open Cow NPV (open)</t>
  </si>
  <si>
    <t>Open Cow NPV (unsound cull)</t>
  </si>
  <si>
    <t>Open Cow NPV (death)</t>
  </si>
  <si>
    <t>Heifer age (j)</t>
  </si>
  <si>
    <t>H &amp; S</t>
  </si>
  <si>
    <t>H+P+S</t>
  </si>
  <si>
    <t>Replacment Heifer NPV (open as 2 year old)</t>
  </si>
  <si>
    <t>Replacment Heifer NPV (unsound cull)</t>
  </si>
  <si>
    <t>Replacment Heifer NPV (death)</t>
  </si>
  <si>
    <t>NPVc_2_</t>
  </si>
  <si>
    <t>NPVo_2_</t>
  </si>
  <si>
    <t>NPVu_2_</t>
  </si>
  <si>
    <t>NPVd_2_</t>
  </si>
  <si>
    <t>Replacment Heifer NPV (calf every year)</t>
  </si>
  <si>
    <t>NPVh_2_</t>
  </si>
  <si>
    <t>NPVho_2_</t>
  </si>
  <si>
    <t>NPVhu_2_</t>
  </si>
  <si>
    <t>NPVhd_2_</t>
  </si>
  <si>
    <t>Cow</t>
  </si>
  <si>
    <t>Ages 3- 11</t>
  </si>
  <si>
    <t>Weighted NPV</t>
  </si>
  <si>
    <t>Prob(cull)</t>
  </si>
  <si>
    <t xml:space="preserve">Heifer </t>
  </si>
  <si>
    <t>Age 2</t>
  </si>
  <si>
    <t>Retained open cow</t>
  </si>
  <si>
    <t>Replacement heifer</t>
  </si>
  <si>
    <t>Retain Open Cow</t>
  </si>
  <si>
    <t/>
  </si>
  <si>
    <t>Total Probability</t>
  </si>
  <si>
    <t>typed inputs</t>
  </si>
  <si>
    <t>Colour cell guide:</t>
  </si>
  <si>
    <t>Average Calf Wean Weight</t>
  </si>
  <si>
    <t>Calf Crop Revenue</t>
  </si>
  <si>
    <t>Total Varable Costs Per Cow/Year</t>
  </si>
  <si>
    <t>Winter Feed Cost Per Cow/Year</t>
  </si>
  <si>
    <t>Grazing Cost Per Cow/Year</t>
  </si>
  <si>
    <t>Breeding Cost Per Cow/Year</t>
  </si>
  <si>
    <t>Total Other Variable Costs Per Cow/Year</t>
  </si>
  <si>
    <t>Average Cull Cow Weight</t>
  </si>
  <si>
    <t>Average Calf Price Per lb</t>
  </si>
  <si>
    <t>Average D2 Cull Cow Price Per lb</t>
  </si>
  <si>
    <t>Cull Value at j years old</t>
  </si>
  <si>
    <t>Total Production Years (n)</t>
  </si>
  <si>
    <t>Total Production Years at Open Point (n-on)</t>
  </si>
  <si>
    <t>Total Production Years of Replacement Heifer</t>
  </si>
  <si>
    <t>Home Raised Replacement Bred Heifer Cost</t>
  </si>
  <si>
    <t>Purchased Replacement Bred Heifer Cost</t>
  </si>
  <si>
    <t>NPV Variables Cost Inputs</t>
  </si>
  <si>
    <t>NPV Variables Production Inputs</t>
  </si>
  <si>
    <t>Open Rate</t>
  </si>
  <si>
    <t>Unsound Rate</t>
  </si>
  <si>
    <t>Death Rate</t>
  </si>
  <si>
    <t>Production Probabilites by cow age</t>
  </si>
  <si>
    <t xml:space="preserve">Average feeder heifer and steer price 300 to 400 lb </t>
  </si>
  <si>
    <t xml:space="preserve">Average feeder heifer and steer price 400 to 500 lb </t>
  </si>
  <si>
    <t xml:space="preserve">Average feeder heifer and steer price 500 to 600 lb </t>
  </si>
  <si>
    <t xml:space="preserve">Average feeder heifer and steer price 600 to 700 lb </t>
  </si>
  <si>
    <t>Average D3 Cull Cow Proce Per lb</t>
  </si>
  <si>
    <t>D2 to D3 Price Slide</t>
  </si>
  <si>
    <t xml:space="preserve">Calf Pound Adjustment </t>
  </si>
  <si>
    <t>Calf Price Slide</t>
  </si>
  <si>
    <t>Cull Cow D3 Price Slide</t>
  </si>
  <si>
    <t>Prob (weaned calf)</t>
  </si>
  <si>
    <t>Interest Rate</t>
  </si>
  <si>
    <t>Results</t>
  </si>
  <si>
    <t>Value of Home Raised Heifer Vs Cull Cow for consideration:</t>
  </si>
  <si>
    <t>Value of Purchased Heifer Vs Cull Cow for consideration:</t>
  </si>
  <si>
    <t>Purchased Heifer Replacemnt  Scenario</t>
  </si>
  <si>
    <t>Home Raised Heifer Replacement Scenario</t>
  </si>
  <si>
    <t>Open Cow vs Homeraiseed Replacement NPV</t>
  </si>
  <si>
    <t>Open Cow vs Purchased Replacement NPV</t>
  </si>
  <si>
    <t>EAAc</t>
  </si>
  <si>
    <t>EAAh</t>
  </si>
  <si>
    <t xml:space="preserve">Average feeder heifer and steer price 700 + lb </t>
  </si>
  <si>
    <t>Retain or Cull Open Cows</t>
  </si>
  <si>
    <t>NPVhd_1_</t>
  </si>
  <si>
    <t>NPVhu_1_</t>
  </si>
  <si>
    <t>NPVho_1_</t>
  </si>
  <si>
    <t>NPVh_1_</t>
  </si>
  <si>
    <t>NPVd_1_</t>
  </si>
  <si>
    <t>NPVu_1_</t>
  </si>
  <si>
    <t>NPVo_1_</t>
  </si>
  <si>
    <t>NPVc_1_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</si>
</sst>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&quot;$&quot;#,##0.00"/>
    <numFmt numFmtId="165" formatCode="0.0000"/>
    <numFmt numFmtId="166" formatCode="&quot;$&quot;#,##0"/>
    <numFmt numFmtId="167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6">
    <xf numFmtId="0" fontId="0" fillId="0" borderId="0" xfId="0"/>
    <xf numFmtId="0" fontId="0" fillId="0" borderId="4" xfId="0" applyBorder="1"/>
    <xf numFmtId="164" fontId="3" fillId="3" borderId="2" xfId="0" applyNumberFormat="1" applyFont="1" applyFill="1" applyBorder="1"/>
    <xf numFmtId="0" fontId="0" fillId="2" borderId="8" xfId="0" applyFill="1" applyBorder="1"/>
    <xf numFmtId="0" fontId="4" fillId="2" borderId="1" xfId="0" applyFont="1" applyFill="1" applyBorder="1" applyAlignment="1">
      <alignment horizontal="center"/>
    </xf>
    <xf numFmtId="0" fontId="0" fillId="3" borderId="4" xfId="0" applyFill="1" applyBorder="1"/>
    <xf numFmtId="0" fontId="3" fillId="2" borderId="0" xfId="0" applyFont="1" applyFill="1"/>
    <xf numFmtId="0" fontId="0" fillId="3" borderId="10" xfId="0" applyFill="1" applyBorder="1"/>
    <xf numFmtId="164" fontId="0" fillId="3" borderId="4" xfId="0" applyNumberFormat="1" applyFill="1" applyBorder="1"/>
    <xf numFmtId="164" fontId="6" fillId="3" borderId="2" xfId="0" applyNumberFormat="1" applyFont="1" applyFill="1" applyBorder="1"/>
    <xf numFmtId="0" fontId="6" fillId="2" borderId="0" xfId="0" applyFont="1" applyFill="1"/>
    <xf numFmtId="0" fontId="11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0" fillId="2" borderId="0" xfId="0" applyFill="1"/>
    <xf numFmtId="0" fontId="3" fillId="2" borderId="5" xfId="0" applyFont="1" applyFill="1" applyBorder="1"/>
    <xf numFmtId="0" fontId="0" fillId="2" borderId="6" xfId="0" applyFill="1" applyBorder="1" applyAlignment="1">
      <alignment horizontal="right"/>
    </xf>
    <xf numFmtId="0" fontId="3" fillId="2" borderId="7" xfId="0" applyFont="1" applyFill="1" applyBorder="1"/>
    <xf numFmtId="0" fontId="7" fillId="2" borderId="7" xfId="0" applyFont="1" applyFill="1" applyBorder="1"/>
    <xf numFmtId="0" fontId="0" fillId="2" borderId="0" xfId="0" quotePrefix="1" applyFill="1"/>
    <xf numFmtId="0" fontId="5" fillId="2" borderId="0" xfId="0" applyFont="1" applyFill="1"/>
    <xf numFmtId="0" fontId="3" fillId="2" borderId="7" xfId="0" applyFont="1" applyFill="1" applyBorder="1" applyAlignment="1">
      <alignment horizontal="left"/>
    </xf>
    <xf numFmtId="0" fontId="10" fillId="2" borderId="0" xfId="0" applyFont="1" applyFill="1"/>
    <xf numFmtId="0" fontId="0" fillId="2" borderId="0" xfId="0" applyFill="1" applyAlignment="1">
      <alignment horizontal="right"/>
    </xf>
    <xf numFmtId="0" fontId="0" fillId="2" borderId="7" xfId="0" applyFill="1" applyBorder="1"/>
    <xf numFmtId="0" fontId="6" fillId="2" borderId="7" xfId="0" applyFont="1" applyFill="1" applyBorder="1" applyAlignment="1">
      <alignment horizontal="right" vertical="center"/>
    </xf>
    <xf numFmtId="164" fontId="5" fillId="2" borderId="0" xfId="0" applyNumberFormat="1" applyFont="1" applyFill="1"/>
    <xf numFmtId="0" fontId="0" fillId="2" borderId="1" xfId="0" applyFill="1" applyBorder="1" applyAlignment="1">
      <alignment horizontal="right"/>
    </xf>
    <xf numFmtId="0" fontId="6" fillId="2" borderId="0" xfId="0" applyFont="1" applyFill="1" applyAlignment="1">
      <alignment horizontal="right" vertical="center"/>
    </xf>
    <xf numFmtId="164" fontId="0" fillId="2" borderId="0" xfId="0" applyNumberFormat="1" applyFill="1" applyAlignment="1">
      <alignment horizontal="right"/>
    </xf>
    <xf numFmtId="164" fontId="7" fillId="2" borderId="0" xfId="1" applyNumberFormat="1" applyFont="1" applyFill="1" applyBorder="1"/>
    <xf numFmtId="164" fontId="7" fillId="2" borderId="8" xfId="0" applyNumberFormat="1" applyFont="1" applyFill="1" applyBorder="1"/>
    <xf numFmtId="164" fontId="7" fillId="2" borderId="0" xfId="0" applyNumberFormat="1" applyFont="1" applyFill="1"/>
    <xf numFmtId="0" fontId="0" fillId="2" borderId="9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3" fillId="2" borderId="8" xfId="0" applyFont="1" applyFill="1" applyBorder="1"/>
    <xf numFmtId="0" fontId="0" fillId="2" borderId="5" xfId="0" applyFill="1" applyBorder="1"/>
    <xf numFmtId="0" fontId="6" fillId="5" borderId="7" xfId="0" applyFont="1" applyFill="1" applyBorder="1" applyAlignment="1">
      <alignment horizontal="right"/>
    </xf>
    <xf numFmtId="0" fontId="3" fillId="5" borderId="7" xfId="0" applyFont="1" applyFill="1" applyBorder="1" applyAlignment="1">
      <alignment horizontal="right"/>
    </xf>
    <xf numFmtId="0" fontId="6" fillId="5" borderId="7" xfId="0" applyFont="1" applyFill="1" applyBorder="1" applyAlignment="1">
      <alignment horizontal="right" vertical="center"/>
    </xf>
    <xf numFmtId="0" fontId="6" fillId="5" borderId="8" xfId="0" applyFont="1" applyFill="1" applyBorder="1" applyAlignment="1">
      <alignment horizontal="right" vertical="center"/>
    </xf>
    <xf numFmtId="0" fontId="6" fillId="5" borderId="8" xfId="0" applyFont="1" applyFill="1" applyBorder="1" applyAlignment="1">
      <alignment horizontal="right"/>
    </xf>
    <xf numFmtId="0" fontId="6" fillId="5" borderId="5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/>
    </xf>
    <xf numFmtId="0" fontId="0" fillId="2" borderId="4" xfId="0" applyFill="1" applyBorder="1"/>
    <xf numFmtId="10" fontId="0" fillId="2" borderId="4" xfId="0" applyNumberFormat="1" applyFill="1" applyBorder="1"/>
    <xf numFmtId="10" fontId="0" fillId="0" borderId="4" xfId="2" applyNumberFormat="1" applyFont="1" applyFill="1" applyBorder="1"/>
    <xf numFmtId="10" fontId="0" fillId="0" borderId="4" xfId="2" applyNumberFormat="1" applyFont="1" applyBorder="1"/>
    <xf numFmtId="10" fontId="7" fillId="0" borderId="4" xfId="2" applyNumberFormat="1" applyFont="1" applyFill="1" applyBorder="1"/>
    <xf numFmtId="10" fontId="7" fillId="0" borderId="4" xfId="2" applyNumberFormat="1" applyFont="1" applyBorder="1"/>
    <xf numFmtId="10" fontId="0" fillId="2" borderId="4" xfId="2" applyNumberFormat="1" applyFont="1" applyFill="1" applyBorder="1"/>
    <xf numFmtId="0" fontId="3" fillId="2" borderId="4" xfId="0" applyFont="1" applyFill="1" applyBorder="1" applyAlignment="1">
      <alignment horizontal="right"/>
    </xf>
    <xf numFmtId="10" fontId="7" fillId="4" borderId="4" xfId="2" applyNumberFormat="1" applyFont="1" applyFill="1" applyBorder="1"/>
    <xf numFmtId="10" fontId="1" fillId="4" borderId="4" xfId="2" applyNumberFormat="1" applyFont="1" applyFill="1" applyBorder="1"/>
    <xf numFmtId="0" fontId="8" fillId="2" borderId="7" xfId="0" applyFont="1" applyFill="1" applyBorder="1"/>
    <xf numFmtId="0" fontId="9" fillId="2" borderId="0" xfId="0" applyFont="1" applyFill="1"/>
    <xf numFmtId="0" fontId="3" fillId="2" borderId="4" xfId="0" applyFont="1" applyFill="1" applyBorder="1"/>
    <xf numFmtId="10" fontId="0" fillId="2" borderId="0" xfId="0" applyNumberFormat="1" applyFill="1"/>
    <xf numFmtId="0" fontId="8" fillId="2" borderId="0" xfId="0" applyFont="1" applyFill="1"/>
    <xf numFmtId="164" fontId="0" fillId="2" borderId="0" xfId="0" applyNumberFormat="1" applyFill="1"/>
    <xf numFmtId="0" fontId="0" fillId="2" borderId="10" xfId="0" applyFill="1" applyBorder="1"/>
    <xf numFmtId="0" fontId="3" fillId="2" borderId="10" xfId="0" applyFont="1" applyFill="1" applyBorder="1"/>
    <xf numFmtId="0" fontId="7" fillId="2" borderId="0" xfId="0" applyFont="1" applyFill="1"/>
    <xf numFmtId="0" fontId="6" fillId="2" borderId="4" xfId="0" applyFont="1" applyFill="1" applyBorder="1"/>
    <xf numFmtId="0" fontId="0" fillId="2" borderId="0" xfId="0" applyFill="1" applyAlignment="1">
      <alignment horizontal="center"/>
    </xf>
    <xf numFmtId="0" fontId="3" fillId="3" borderId="4" xfId="0" applyFont="1" applyFill="1" applyBorder="1" applyAlignment="1">
      <alignment horizontal="left"/>
    </xf>
    <xf numFmtId="166" fontId="4" fillId="4" borderId="4" xfId="0" applyNumberFormat="1" applyFont="1" applyFill="1" applyBorder="1" applyAlignment="1">
      <alignment horizontal="left" vertical="center"/>
    </xf>
    <xf numFmtId="0" fontId="0" fillId="6" borderId="4" xfId="0" applyFill="1" applyBorder="1"/>
    <xf numFmtId="0" fontId="6" fillId="5" borderId="4" xfId="0" applyFont="1" applyFill="1" applyBorder="1" applyAlignment="1">
      <alignment horizontal="left"/>
    </xf>
    <xf numFmtId="0" fontId="0" fillId="2" borderId="1" xfId="0" applyFill="1" applyBorder="1"/>
    <xf numFmtId="0" fontId="3" fillId="2" borderId="1" xfId="0" applyFont="1" applyFill="1" applyBorder="1"/>
    <xf numFmtId="0" fontId="3" fillId="2" borderId="0" xfId="0" applyFont="1" applyFill="1" applyAlignment="1">
      <alignment horizontal="right"/>
    </xf>
    <xf numFmtId="0" fontId="0" fillId="2" borderId="0" xfId="0" applyFill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1" xfId="0" applyFill="1" applyBorder="1" applyAlignment="1">
      <alignment horizontal="right"/>
    </xf>
    <xf numFmtId="2" fontId="0" fillId="4" borderId="4" xfId="0" applyNumberFormat="1" applyFill="1" applyBorder="1"/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167" fontId="0" fillId="2" borderId="4" xfId="0" applyNumberFormat="1" applyFill="1" applyBorder="1"/>
    <xf numFmtId="2" fontId="0" fillId="2" borderId="4" xfId="0" applyNumberFormat="1" applyFill="1" applyBorder="1"/>
    <xf numFmtId="2" fontId="0" fillId="2" borderId="0" xfId="0" applyNumberFormat="1" applyFill="1"/>
    <xf numFmtId="9" fontId="6" fillId="2" borderId="0" xfId="2" applyFont="1" applyFill="1" applyBorder="1"/>
    <xf numFmtId="0" fontId="6" fillId="2" borderId="0" xfId="0" applyFont="1" applyFill="1" applyAlignment="1">
      <alignment vertical="center"/>
    </xf>
    <xf numFmtId="9" fontId="0" fillId="2" borderId="0" xfId="2" applyFont="1" applyFill="1"/>
    <xf numFmtId="9" fontId="0" fillId="2" borderId="0" xfId="2" applyFont="1" applyFill="1" applyBorder="1"/>
    <xf numFmtId="0" fontId="2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left"/>
    </xf>
    <xf numFmtId="165" fontId="4" fillId="2" borderId="1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166" fontId="4" fillId="2" borderId="0" xfId="0" applyNumberFormat="1" applyFont="1" applyFill="1" applyAlignment="1">
      <alignment horizontal="right" vertical="center"/>
    </xf>
    <xf numFmtId="164" fontId="4" fillId="2" borderId="0" xfId="0" applyNumberFormat="1" applyFont="1" applyFill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/>
    </xf>
    <xf numFmtId="164" fontId="3" fillId="2" borderId="0" xfId="0" applyNumberFormat="1" applyFont="1" applyFill="1"/>
    <xf numFmtId="0" fontId="4" fillId="2" borderId="0" xfId="0" applyFont="1" applyFill="1" applyAlignment="1">
      <alignment horizontal="center"/>
    </xf>
    <xf numFmtId="0" fontId="6" fillId="2" borderId="1" xfId="0" applyFont="1" applyFill="1" applyBorder="1"/>
    <xf numFmtId="9" fontId="7" fillId="2" borderId="1" xfId="2" applyFont="1" applyFill="1" applyBorder="1"/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/>
    <xf numFmtId="164" fontId="7" fillId="2" borderId="1" xfId="0" applyNumberFormat="1" applyFont="1" applyFill="1" applyBorder="1"/>
    <xf numFmtId="164" fontId="0" fillId="2" borderId="1" xfId="0" applyNumberFormat="1" applyFill="1" applyBorder="1"/>
    <xf numFmtId="0" fontId="11" fillId="2" borderId="5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165" fontId="11" fillId="2" borderId="1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right" vertical="center"/>
    </xf>
    <xf numFmtId="166" fontId="11" fillId="2" borderId="0" xfId="0" applyNumberFormat="1" applyFont="1" applyFill="1" applyAlignment="1">
      <alignment horizontal="right" vertical="center"/>
    </xf>
    <xf numFmtId="164" fontId="11" fillId="2" borderId="0" xfId="0" applyNumberFormat="1" applyFont="1" applyFill="1" applyAlignment="1">
      <alignment horizontal="right" vertical="center"/>
    </xf>
    <xf numFmtId="164" fontId="11" fillId="2" borderId="1" xfId="0" applyNumberFormat="1" applyFont="1" applyFill="1" applyBorder="1" applyAlignment="1">
      <alignment horizontal="right" vertical="center"/>
    </xf>
    <xf numFmtId="165" fontId="4" fillId="2" borderId="0" xfId="0" applyNumberFormat="1" applyFont="1" applyFill="1" applyAlignment="1">
      <alignment horizontal="center"/>
    </xf>
    <xf numFmtId="9" fontId="0" fillId="2" borderId="1" xfId="2" applyFont="1" applyFill="1" applyBorder="1"/>
    <xf numFmtId="0" fontId="2" fillId="2" borderId="1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left"/>
    </xf>
    <xf numFmtId="0" fontId="4" fillId="2" borderId="0" xfId="0" applyFont="1" applyFill="1" applyAlignment="1">
      <alignment horizontal="right" vertical="center"/>
    </xf>
    <xf numFmtId="0" fontId="11" fillId="7" borderId="4" xfId="0" applyFont="1" applyFill="1" applyBorder="1" applyAlignment="1">
      <alignment horizontal="left"/>
    </xf>
    <xf numFmtId="0" fontId="4" fillId="7" borderId="1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9" fontId="7" fillId="2" borderId="0" xfId="2" applyFont="1" applyFill="1"/>
    <xf numFmtId="9" fontId="7" fillId="2" borderId="0" xfId="2" applyFont="1" applyFill="1" applyBorder="1"/>
    <xf numFmtId="0" fontId="7" fillId="2" borderId="0" xfId="0" applyFont="1" applyFill="1" applyAlignment="1">
      <alignment vertical="center"/>
    </xf>
    <xf numFmtId="164" fontId="6" fillId="2" borderId="0" xfId="0" applyNumberFormat="1" applyFont="1" applyFill="1"/>
    <xf numFmtId="0" fontId="6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65" fontId="11" fillId="2" borderId="0" xfId="0" applyNumberFormat="1" applyFont="1" applyFill="1" applyAlignment="1">
      <alignment horizontal="center"/>
    </xf>
    <xf numFmtId="0" fontId="6" fillId="3" borderId="4" xfId="0" applyFont="1" applyFill="1" applyBorder="1"/>
    <xf numFmtId="0" fontId="3" fillId="2" borderId="7" xfId="0" applyFont="1" applyFill="1" applyBorder="1" applyAlignment="1">
      <alignment horizontal="center"/>
    </xf>
    <xf numFmtId="0" fontId="3" fillId="2" borderId="6" xfId="0" applyFont="1" applyFill="1" applyBorder="1"/>
    <xf numFmtId="0" fontId="8" fillId="2" borderId="6" xfId="0" applyFont="1" applyFill="1" applyBorder="1"/>
    <xf numFmtId="164" fontId="7" fillId="8" borderId="4" xfId="0" applyNumberFormat="1" applyFont="1" applyFill="1" applyBorder="1"/>
    <xf numFmtId="0" fontId="2" fillId="2" borderId="0" xfId="0" applyFont="1" applyFill="1"/>
    <xf numFmtId="0" fontId="0" fillId="9" borderId="7" xfId="0" applyFill="1" applyBorder="1" applyAlignment="1">
      <alignment horizontal="right"/>
    </xf>
    <xf numFmtId="0" fontId="0" fillId="9" borderId="8" xfId="0" applyFill="1" applyBorder="1"/>
    <xf numFmtId="164" fontId="3" fillId="2" borderId="4" xfId="0" applyNumberFormat="1" applyFont="1" applyFill="1" applyBorder="1"/>
    <xf numFmtId="0" fontId="12" fillId="0" borderId="12" xfId="0" applyFont="1" applyBorder="1"/>
    <xf numFmtId="0" fontId="7" fillId="2" borderId="0" xfId="0" applyFont="1" applyFill="1" applyAlignment="1">
      <alignment horizontal="left"/>
    </xf>
    <xf numFmtId="0" fontId="6" fillId="10" borderId="4" xfId="0" applyFont="1" applyFill="1" applyBorder="1" applyAlignment="1">
      <alignment horizontal="left"/>
    </xf>
    <xf numFmtId="0" fontId="7" fillId="0" borderId="0" xfId="0" applyFont="1"/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164" fontId="6" fillId="8" borderId="8" xfId="0" applyNumberFormat="1" applyFont="1" applyFill="1" applyBorder="1" applyProtection="1">
      <protection locked="0"/>
    </xf>
    <xf numFmtId="164" fontId="6" fillId="8" borderId="7" xfId="0" applyNumberFormat="1" applyFont="1" applyFill="1" applyBorder="1" applyProtection="1">
      <protection locked="0"/>
    </xf>
    <xf numFmtId="164" fontId="6" fillId="8" borderId="0" xfId="0" applyNumberFormat="1" applyFont="1" applyFill="1" applyProtection="1">
      <protection locked="0"/>
    </xf>
    <xf numFmtId="164" fontId="6" fillId="8" borderId="1" xfId="0" applyNumberFormat="1" applyFont="1" applyFill="1" applyBorder="1" applyProtection="1">
      <protection locked="0"/>
    </xf>
    <xf numFmtId="164" fontId="6" fillId="8" borderId="5" xfId="0" applyNumberFormat="1" applyFont="1" applyFill="1" applyBorder="1" applyProtection="1">
      <protection locked="0"/>
    </xf>
    <xf numFmtId="2" fontId="6" fillId="8" borderId="6" xfId="0" applyNumberFormat="1" applyFont="1" applyFill="1" applyBorder="1" applyProtection="1">
      <protection locked="0"/>
    </xf>
    <xf numFmtId="164" fontId="7" fillId="2" borderId="7" xfId="0" applyNumberFormat="1" applyFont="1" applyFill="1" applyBorder="1" applyProtection="1">
      <protection locked="0"/>
    </xf>
    <xf numFmtId="164" fontId="7" fillId="2" borderId="8" xfId="1" applyNumberFormat="1" applyFont="1" applyFill="1" applyBorder="1" applyProtection="1">
      <protection locked="0"/>
    </xf>
    <xf numFmtId="164" fontId="7" fillId="2" borderId="8" xfId="0" applyNumberFormat="1" applyFont="1" applyFill="1" applyBorder="1" applyProtection="1">
      <protection locked="0"/>
    </xf>
    <xf numFmtId="2" fontId="6" fillId="8" borderId="11" xfId="0" applyNumberFormat="1" applyFont="1" applyFill="1" applyBorder="1" applyProtection="1">
      <protection locked="0"/>
    </xf>
    <xf numFmtId="10" fontId="6" fillId="8" borderId="9" xfId="2" applyNumberFormat="1" applyFon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6" xfId="0" applyFill="1" applyBorder="1" applyProtection="1">
      <protection locked="0"/>
    </xf>
    <xf numFmtId="10" fontId="6" fillId="8" borderId="0" xfId="2" applyNumberFormat="1" applyFont="1" applyFill="1" applyBorder="1" applyProtection="1">
      <protection locked="0"/>
    </xf>
    <xf numFmtId="10" fontId="6" fillId="8" borderId="1" xfId="2" applyNumberFormat="1" applyFont="1" applyFill="1" applyBorder="1" applyProtection="1">
      <protection locked="0"/>
    </xf>
    <xf numFmtId="10" fontId="6" fillId="8" borderId="5" xfId="2" applyNumberFormat="1" applyFont="1" applyFill="1" applyBorder="1" applyProtection="1">
      <protection locked="0"/>
    </xf>
  </cellXfs>
  <cellStyles count="3">
    <cellStyle name="Currency" xfId="1" builtinId="4"/>
    <cellStyle name="Normal" xfId="0" builtinId="0"/>
    <cellStyle name="Percent" xfId="2" builtinId="5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1B8FF"/>
        </patternFill>
      </fill>
    </dxf>
    <dxf>
      <fill>
        <patternFill>
          <bgColor rgb="FF7CDD75"/>
        </patternFill>
      </fill>
    </dxf>
    <dxf>
      <fill>
        <patternFill>
          <bgColor rgb="FFFF5757"/>
        </patternFill>
      </fill>
    </dxf>
    <dxf>
      <fill>
        <patternFill>
          <bgColor rgb="FFFF6565"/>
        </patternFill>
      </fill>
    </dxf>
    <dxf>
      <fill>
        <patternFill>
          <bgColor rgb="FF7DBEFF"/>
        </patternFill>
      </fill>
    </dxf>
    <dxf>
      <fill>
        <patternFill>
          <bgColor rgb="FF65B2FF"/>
        </patternFill>
      </fill>
    </dxf>
  </dxfs>
  <tableStyles count="0" defaultTableStyle="TableStyleMedium2" defaultPivotStyle="PivotStyleLight16"/>
  <colors>
    <mruColors>
      <color rgb="FF7CDD75"/>
      <color rgb="FF65B2FF"/>
      <color rgb="FF71B8FF"/>
      <color rgb="FF7DBEFF"/>
      <color rgb="FFFF5757"/>
      <color rgb="FFFF6565"/>
      <color rgb="FFFF6969"/>
      <color rgb="FFFF6161"/>
      <color rgb="FFCC66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Spin" dx="31" fmlaLink="$C$40" max="12" min="2" page="10" val="10"/>
</file>

<file path=xl/ctrlProps/ctrlProp2.xml><?xml version="1.0" encoding="utf-8"?>
<formControlPr xmlns="http://schemas.microsoft.com/office/spreadsheetml/2009/9/main" objectType="Spin" dx="31" fmlaLink="$C$17" max="13" min="2" page="10" val="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60960</xdr:colOff>
          <xdr:row>38</xdr:row>
          <xdr:rowOff>175260</xdr:rowOff>
        </xdr:from>
        <xdr:to>
          <xdr:col>4</xdr:col>
          <xdr:colOff>320040</xdr:colOff>
          <xdr:row>40</xdr:row>
          <xdr:rowOff>30480</xdr:rowOff>
        </xdr:to>
        <xdr:sp macro="" textlink="">
          <xdr:nvSpPr>
            <xdr:cNvPr id="4102" name="Spinner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91440</xdr:colOff>
          <xdr:row>15</xdr:row>
          <xdr:rowOff>182880</xdr:rowOff>
        </xdr:from>
        <xdr:to>
          <xdr:col>4</xdr:col>
          <xdr:colOff>304800</xdr:colOff>
          <xdr:row>17</xdr:row>
          <xdr:rowOff>30480</xdr:rowOff>
        </xdr:to>
        <xdr:sp macro="" textlink="">
          <xdr:nvSpPr>
            <xdr:cNvPr id="4105" name="Spinner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6</xdr:col>
      <xdr:colOff>258656</xdr:colOff>
      <xdr:row>19</xdr:row>
      <xdr:rowOff>177167</xdr:rowOff>
    </xdr:from>
    <xdr:to>
      <xdr:col>10</xdr:col>
      <xdr:colOff>112607</xdr:colOff>
      <xdr:row>52</xdr:row>
      <xdr:rowOff>127002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41B9BCF-E7F7-CB81-27E1-0DE71D577C3F}"/>
            </a:ext>
          </a:extLst>
        </xdr:cNvPr>
        <xdr:cNvSpPr txBox="1"/>
      </xdr:nvSpPr>
      <xdr:spPr>
        <a:xfrm>
          <a:off x="5719656" y="1955167"/>
          <a:ext cx="6976534" cy="42784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/>
            <a:t>The </a:t>
          </a:r>
          <a:r>
            <a:rPr lang="en-CA" b="1"/>
            <a:t>Culling Open Cows Tool</a:t>
          </a:r>
          <a:r>
            <a:rPr lang="en-CA"/>
            <a:t> helps producers evaluate the value of a replacement bred heifer compared to an open cow at a specific age. To ensure accurate and meaningful results, keep the following considerations in mind when entering your production and cost data:</a:t>
          </a:r>
        </a:p>
        <a:p>
          <a:endParaRPr lang="en-CA" b="1"/>
        </a:p>
        <a:p>
          <a:r>
            <a:rPr lang="en-CA" b="1"/>
            <a:t>Perform Multiple Scenarios</a:t>
          </a:r>
          <a:br>
            <a:rPr lang="en-CA"/>
          </a:br>
          <a:r>
            <a:rPr lang="en-CA"/>
            <a:t>Conduct the calculation twice:</a:t>
          </a:r>
        </a:p>
        <a:p>
          <a:pPr lvl="1"/>
          <a:r>
            <a:rPr lang="en-CA"/>
            <a:t>•</a:t>
          </a:r>
          <a:r>
            <a:rPr lang="en-CA" baseline="0"/>
            <a:t> </a:t>
          </a:r>
          <a:r>
            <a:rPr lang="en-CA"/>
            <a:t>First, use your expected costs and market prices.</a:t>
          </a:r>
        </a:p>
        <a:p>
          <a:pPr lvl="1"/>
          <a:r>
            <a:rPr lang="en-CA"/>
            <a:t>• Then, perform the same calculation with slightly higher costs to account for potentialvariables, such as unexpected increases in supplemental feed costs during the winter or rising market feed prices.</a:t>
          </a:r>
        </a:p>
        <a:p>
          <a:pPr lvl="0"/>
          <a:r>
            <a:rPr lang="en-CA" b="1"/>
            <a:t>Price Variability</a:t>
          </a:r>
          <a:endParaRPr lang="en-CA"/>
        </a:p>
        <a:p>
          <a:pPr lvl="1"/>
          <a:r>
            <a:rPr lang="en-CA"/>
            <a:t>• Include both high and low price estimates for weaned calves and cull cows. </a:t>
          </a:r>
        </a:p>
        <a:p>
          <a:pPr lvl="1"/>
          <a:r>
            <a:rPr lang="en-CA"/>
            <a:t>• Market fluctuations can significantly impact the economic feasibility of retaining or replacing a cow.</a:t>
          </a:r>
        </a:p>
        <a:p>
          <a:r>
            <a:rPr lang="en-CA" b="1"/>
            <a:t>Cow Age and Production Years</a:t>
          </a:r>
          <a:endParaRPr lang="en-CA"/>
        </a:p>
        <a:p>
          <a:pPr lvl="1"/>
          <a:r>
            <a:rPr lang="en-CA"/>
            <a:t>• Understand that the number of productive years per cow may vary depending on herd management practices, genetics, and environmental factors.</a:t>
          </a:r>
        </a:p>
        <a:p>
          <a:pPr lvl="1"/>
          <a:r>
            <a:rPr lang="en-CA"/>
            <a:t>• Production years refer to the years the cow is expected to produce a calf. </a:t>
          </a:r>
        </a:p>
        <a:p>
          <a:pPr lvl="1"/>
          <a:r>
            <a:rPr lang="en-CA"/>
            <a:t>	• For example, a cow that is 11 years old would typically be expected to have produced 10 calves, 	assuming she calved every year after reaching breeding maturity at two years old.</a:t>
          </a:r>
        </a:p>
        <a:p>
          <a:r>
            <a:rPr lang="en-CA" b="1"/>
            <a:t>Separtley from this caculator consider Health and Longevity </a:t>
          </a:r>
          <a:br>
            <a:rPr lang="en-CA"/>
          </a:br>
          <a:r>
            <a:rPr lang="en-CA"/>
            <a:t>Consider whether the cow is likely to remain healthy and productive for additional years. Factors such as dental health, body condition, and past calving issues should influence your decision.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CA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/>
            <a:t>By carefully considering these factors, producers can make more informed decisions about culling open cows, maximizing profitability, and maintaining herd productivity.</a:t>
          </a:r>
          <a:endParaRPr lang="en-CA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110066</xdr:colOff>
      <xdr:row>0</xdr:row>
      <xdr:rowOff>42332</xdr:rowOff>
    </xdr:from>
    <xdr:to>
      <xdr:col>1</xdr:col>
      <xdr:colOff>3045578</xdr:colOff>
      <xdr:row>8</xdr:row>
      <xdr:rowOff>57149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F17A49-A3CB-A5A8-8ADF-230466B8C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066" y="42332"/>
          <a:ext cx="3564162" cy="157691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3199976</xdr:colOff>
      <xdr:row>1</xdr:row>
      <xdr:rowOff>286594</xdr:rowOff>
    </xdr:from>
    <xdr:to>
      <xdr:col>10</xdr:col>
      <xdr:colOff>1</xdr:colOff>
      <xdr:row>13</xdr:row>
      <xdr:rowOff>154781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5F946DF-8C56-BE24-5097-B6B53FD90366}"/>
            </a:ext>
          </a:extLst>
        </xdr:cNvPr>
        <xdr:cNvSpPr txBox="1"/>
      </xdr:nvSpPr>
      <xdr:spPr>
        <a:xfrm>
          <a:off x="3831007" y="465188"/>
          <a:ext cx="9122994" cy="213037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 b="1"/>
            <a:t>Instructions: </a:t>
          </a:r>
          <a:r>
            <a:rPr lang="en-CA" sz="1100"/>
            <a:t>Enter values in yellow highlighted cells, then select the age of the open cow and expected production years in the orange highlighted cells; all other cells are formula driven. </a:t>
          </a:r>
        </a:p>
        <a:p>
          <a:endParaRPr lang="en-CA" sz="1100"/>
        </a:p>
        <a:p>
          <a:pPr lvl="1"/>
          <a:r>
            <a:rPr lang="en-CA" sz="1100"/>
            <a:t>Results will appear either as "Retain Open Female in" green "Replace with Home-Raised or Purchased Heifer" in red or "Retain Open or Replace with a Home-Raised or Purchased Heifer" in blue.   </a:t>
          </a:r>
        </a:p>
        <a:p>
          <a:pPr lvl="1"/>
          <a:r>
            <a:rPr lang="en-CA" sz="1100"/>
            <a:t>When the result is "Retain Open or Replace with a Home-Raised or Purchased Heifer" in blue, this indicates that the future valuation between the open female and replacement female is within $25.  </a:t>
          </a:r>
        </a:p>
        <a:p>
          <a:pPr lvl="1"/>
          <a:r>
            <a:rPr lang="en-CA" sz="1100"/>
            <a:t>In this case the</a:t>
          </a:r>
          <a:r>
            <a:rPr lang="en-CA" sz="1100" baseline="0"/>
            <a:t> valuations are similar</a:t>
          </a:r>
          <a:r>
            <a:rPr lang="en-CA" sz="1100"/>
            <a:t>, and a producer's records and visual assessment should be made separately from this calculator, considering the health and longevity of the open female.  </a:t>
          </a:r>
        </a:p>
        <a:p>
          <a:pPr lvl="1"/>
          <a:endParaRPr lang="en-CA" sz="1100"/>
        </a:p>
        <a:p>
          <a:pPr lvl="1"/>
          <a:r>
            <a:rPr lang="en-CA" sz="1100"/>
            <a:t>The difference in the future valuation between the heifer and the open cow is shown in the dollar value to the right of the results.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512884</xdr:colOff>
      <xdr:row>13</xdr:row>
      <xdr:rowOff>51288</xdr:rowOff>
    </xdr:from>
    <xdr:to>
      <xdr:col>6</xdr:col>
      <xdr:colOff>622789</xdr:colOff>
      <xdr:row>14</xdr:row>
      <xdr:rowOff>146538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121019" y="2527788"/>
          <a:ext cx="4125058" cy="285750"/>
        </a:xfrm>
        <a:prstGeom prst="rect">
          <a:avLst/>
        </a:prstGeom>
        <a:solidFill>
          <a:srgbClr val="CC66FF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/>
            <a:t>Table</a:t>
          </a:r>
          <a:r>
            <a:rPr lang="en-CA" sz="1100" baseline="0"/>
            <a:t> informaed by</a:t>
          </a:r>
          <a:r>
            <a:rPr lang="en-CA" sz="1100"/>
            <a:t> </a:t>
          </a:r>
          <a:r>
            <a:rPr lang="en-CA" sz="1100" baseline="0"/>
            <a:t>Tronstand et al. (1993) and Waldner et al. (2019).</a:t>
          </a:r>
          <a:endParaRPr lang="en-CA" sz="1100"/>
        </a:p>
      </xdr:txBody>
    </xdr:sp>
    <xdr:clientData/>
  </xdr:twoCellAnchor>
  <xdr:twoCellAnchor>
    <xdr:from>
      <xdr:col>1</xdr:col>
      <xdr:colOff>427037</xdr:colOff>
      <xdr:row>29</xdr:row>
      <xdr:rowOff>134938</xdr:rowOff>
    </xdr:from>
    <xdr:to>
      <xdr:col>4</xdr:col>
      <xdr:colOff>388937</xdr:colOff>
      <xdr:row>31</xdr:row>
      <xdr:rowOff>39688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AD09EB9-F13C-4ABF-BB26-7B52F3649CA9}"/>
            </a:ext>
          </a:extLst>
        </xdr:cNvPr>
        <xdr:cNvSpPr txBox="1"/>
      </xdr:nvSpPr>
      <xdr:spPr>
        <a:xfrm>
          <a:off x="1059497" y="2329498"/>
          <a:ext cx="3154680" cy="270510"/>
        </a:xfrm>
        <a:prstGeom prst="rect">
          <a:avLst/>
        </a:prstGeom>
        <a:solidFill>
          <a:srgbClr val="CC66FF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/>
            <a:t>Sourced from Table 1 Rumph</a:t>
          </a:r>
          <a:r>
            <a:rPr lang="en-CA" sz="1100" baseline="0"/>
            <a:t> &amp; Van Vleck, 2004</a:t>
          </a:r>
          <a:endParaRPr lang="en-CA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Tymko, Heidi" id="{332C41E0-2DE0-498C-BFF2-BCD134DE8F36}" userId="S::hrt181@usask.ca::7b98fa13-ed72-4036-b3d1-ccd6f07c159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5" dT="2023-06-23T22:50:41.86" personId="{332C41E0-2DE0-498C-BFF2-BCD134DE8F36}" id="{603956F3-9F17-4D68-8854-BC6254F91232}">
    <text>i is zero here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68ABE-705A-4E88-A4D5-E671C88B1E13}">
  <sheetPr codeName="Sheet6">
    <tabColor theme="7" tint="0.39997558519241921"/>
  </sheetPr>
  <dimension ref="B2:J49"/>
  <sheetViews>
    <sheetView tabSelected="1" zoomScale="80" zoomScaleNormal="80" zoomScaleSheetLayoutView="100" workbookViewId="0">
      <selection activeCell="E26" sqref="E26"/>
    </sheetView>
  </sheetViews>
  <sheetFormatPr defaultColWidth="9.21875" defaultRowHeight="14.4" x14ac:dyDescent="0.3"/>
  <cols>
    <col min="1" max="1" width="9.21875" style="13"/>
    <col min="2" max="2" width="47.44140625" style="13" bestFit="1" customWidth="1"/>
    <col min="3" max="3" width="13.5546875" style="13" customWidth="1"/>
    <col min="4" max="4" width="6.77734375" style="13" hidden="1" customWidth="1"/>
    <col min="5" max="5" width="9.44140625" style="13" customWidth="1"/>
    <col min="6" max="6" width="20.5546875" style="13" hidden="1" customWidth="1"/>
    <col min="7" max="7" width="4" style="13" bestFit="1" customWidth="1"/>
    <col min="8" max="8" width="43.5546875" style="13" customWidth="1"/>
    <col min="9" max="9" width="52.44140625" style="13" bestFit="1" customWidth="1"/>
    <col min="10" max="16384" width="9.21875" style="13"/>
  </cols>
  <sheetData>
    <row r="2" spans="2:10" ht="23.4" x14ac:dyDescent="0.45">
      <c r="C2" s="134" t="s">
        <v>121</v>
      </c>
    </row>
    <row r="3" spans="2:10" x14ac:dyDescent="0.3">
      <c r="C3" s="137"/>
    </row>
    <row r="4" spans="2:10" x14ac:dyDescent="0.3">
      <c r="C4" s="61"/>
    </row>
    <row r="5" spans="2:10" x14ac:dyDescent="0.3">
      <c r="C5" s="135"/>
    </row>
    <row r="15" spans="2:10" x14ac:dyDescent="0.3">
      <c r="B15" s="61"/>
      <c r="D15" s="12"/>
      <c r="F15" s="6" t="s">
        <v>77</v>
      </c>
      <c r="H15" s="6" t="s">
        <v>111</v>
      </c>
    </row>
    <row r="16" spans="2:10" ht="16.2" thickBot="1" x14ac:dyDescent="0.35">
      <c r="B16" s="128" t="s">
        <v>94</v>
      </c>
      <c r="C16" s="127"/>
      <c r="D16" s="127"/>
      <c r="F16" s="129" t="s">
        <v>76</v>
      </c>
      <c r="H16" s="125" t="str" cm="1">
        <f t="array" ref="H16">_xlfn.IFS(ABS('Wt NPV &amp; EA'!K4 - 'Wt NPV &amp; EA'!K3) &lt;= 25, "Retain Open or Replace with Home-Raised Heifer",'Wt NPV &amp; EA'!K4 &gt; 'Wt NPV &amp; EA'!K3, "Replace With Home-Raised Heifer",'Wt NPV &amp; EA'!K4 &lt; 'Wt NPV &amp; EA'!K3, "Retain Open Female")</f>
        <v>Replace With Home-Raised Heifer</v>
      </c>
      <c r="I16" s="136" t="s">
        <v>112</v>
      </c>
      <c r="J16" s="133">
        <f>'Wt NPV &amp; EA'!K4-'Wt NPV &amp; EA'!K3</f>
        <v>65.680582677360178</v>
      </c>
    </row>
    <row r="17" spans="2:10" ht="15" thickBot="1" x14ac:dyDescent="0.35">
      <c r="B17" s="20" t="s">
        <v>17</v>
      </c>
      <c r="C17" s="131">
        <v>2</v>
      </c>
      <c r="D17" s="126"/>
      <c r="F17" s="66" t="s">
        <v>35</v>
      </c>
      <c r="H17" s="125" t="str" cm="1">
        <f t="array" ref="H17">_xlfn.IFS(ABS('Wt NPV &amp; EA'!K19 - 'Wt NPV &amp; EA'!K18) &lt;= 25, "Retain Open or Replace With Purchased Heifer", 'Wt NPV &amp; EA'!K19&gt;'Wt NPV &amp; EA'!K18, "Replace With Purchased Heifer", 'Wt NPV &amp; EA'!K19&lt;'Wt NPV &amp; EA'!K18, "Retain Open Female")</f>
        <v>Retain Open Female</v>
      </c>
      <c r="I17" s="136" t="s">
        <v>113</v>
      </c>
      <c r="J17" s="133">
        <f>'Wt NPV &amp; EA'!K19-'Wt NPV &amp; EA'!K18</f>
        <v>-66.467646879611493</v>
      </c>
    </row>
    <row r="18" spans="2:10" ht="15" hidden="1" thickBot="1" x14ac:dyDescent="0.35">
      <c r="B18" s="23" t="s">
        <v>18</v>
      </c>
      <c r="C18" s="17">
        <f>C17-1</f>
        <v>1</v>
      </c>
      <c r="D18" s="36" t="s">
        <v>19</v>
      </c>
      <c r="F18" s="67" t="s">
        <v>36</v>
      </c>
    </row>
    <row r="19" spans="2:10" ht="15" hidden="1" thickBot="1" x14ac:dyDescent="0.35">
      <c r="B19" s="23" t="s">
        <v>20</v>
      </c>
      <c r="C19" s="17">
        <f>on+1</f>
        <v>2</v>
      </c>
      <c r="D19" s="36" t="s">
        <v>21</v>
      </c>
      <c r="E19" s="18" t="s">
        <v>74</v>
      </c>
      <c r="F19" s="64" t="s">
        <v>37</v>
      </c>
    </row>
    <row r="20" spans="2:10" ht="15" thickBot="1" x14ac:dyDescent="0.35">
      <c r="B20" s="16" t="s">
        <v>92</v>
      </c>
      <c r="C20" s="140">
        <v>1500</v>
      </c>
      <c r="D20" s="36" t="s">
        <v>22</v>
      </c>
      <c r="E20" s="19"/>
      <c r="F20" s="65" t="s">
        <v>38</v>
      </c>
    </row>
    <row r="21" spans="2:10" ht="15.75" customHeight="1" thickBot="1" x14ac:dyDescent="0.35">
      <c r="B21" s="20" t="s">
        <v>93</v>
      </c>
      <c r="C21" s="141">
        <v>2500</v>
      </c>
      <c r="D21" s="37" t="s">
        <v>23</v>
      </c>
      <c r="E21" s="21"/>
      <c r="F21" s="113" t="s">
        <v>39</v>
      </c>
      <c r="H21" s="130"/>
    </row>
    <row r="22" spans="2:10" ht="15.75" customHeight="1" x14ac:dyDescent="0.3">
      <c r="B22" s="71" t="s">
        <v>100</v>
      </c>
      <c r="C22" s="142">
        <v>1.5</v>
      </c>
      <c r="D22" s="70"/>
      <c r="E22" s="21"/>
      <c r="F22" s="43" t="s">
        <v>40</v>
      </c>
      <c r="H22" s="130"/>
    </row>
    <row r="23" spans="2:10" ht="15.75" customHeight="1" x14ac:dyDescent="0.3">
      <c r="B23" s="72" t="s">
        <v>101</v>
      </c>
      <c r="C23" s="143">
        <v>1.75</v>
      </c>
      <c r="D23" s="70"/>
      <c r="E23" s="21"/>
    </row>
    <row r="24" spans="2:10" ht="15.75" customHeight="1" x14ac:dyDescent="0.3">
      <c r="B24" s="71" t="s">
        <v>102</v>
      </c>
      <c r="C24" s="143">
        <v>2</v>
      </c>
      <c r="D24" s="70"/>
      <c r="E24" s="21"/>
      <c r="F24" s="25"/>
    </row>
    <row r="25" spans="2:10" ht="15.75" customHeight="1" x14ac:dyDescent="0.3">
      <c r="B25" s="72" t="s">
        <v>103</v>
      </c>
      <c r="C25" s="144">
        <v>2.25</v>
      </c>
      <c r="D25" s="70"/>
      <c r="E25" s="21"/>
      <c r="F25" s="25"/>
    </row>
    <row r="26" spans="2:10" ht="15.75" customHeight="1" x14ac:dyDescent="0.3">
      <c r="B26" s="72" t="s">
        <v>120</v>
      </c>
      <c r="C26" s="144">
        <v>2.5</v>
      </c>
      <c r="D26" s="70"/>
      <c r="E26" s="21"/>
      <c r="F26" s="25"/>
    </row>
    <row r="27" spans="2:10" ht="15" thickBot="1" x14ac:dyDescent="0.35">
      <c r="B27" s="22" t="s">
        <v>78</v>
      </c>
      <c r="C27" s="145">
        <v>550</v>
      </c>
      <c r="F27" s="25"/>
    </row>
    <row r="28" spans="2:10" ht="15" hidden="1" thickBot="1" x14ac:dyDescent="0.35">
      <c r="B28" s="15" t="s">
        <v>86</v>
      </c>
      <c r="C28" s="146" cm="1">
        <f t="array" ref="C28">_xlfn.IFS(C27&lt;400,C22,C27&lt;500,C23,C27&lt;600,C24,C27&lt;700,C25,C27&gt;800,C26)</f>
        <v>2</v>
      </c>
      <c r="D28" s="23"/>
      <c r="F28" s="25"/>
      <c r="H28" s="25"/>
    </row>
    <row r="29" spans="2:10" ht="15" hidden="1" thickBot="1" x14ac:dyDescent="0.35">
      <c r="B29" s="16" t="s">
        <v>79</v>
      </c>
      <c r="C29" s="146">
        <f>C27*C28</f>
        <v>1100</v>
      </c>
      <c r="D29" s="38" t="s">
        <v>24</v>
      </c>
      <c r="F29" s="29"/>
    </row>
    <row r="30" spans="2:10" x14ac:dyDescent="0.3">
      <c r="B30" s="32" t="s">
        <v>81</v>
      </c>
      <c r="C30" s="144">
        <v>150</v>
      </c>
      <c r="D30" s="22"/>
      <c r="E30" s="22"/>
      <c r="F30" s="31"/>
      <c r="G30" s="22"/>
    </row>
    <row r="31" spans="2:10" x14ac:dyDescent="0.3">
      <c r="B31" s="22" t="s">
        <v>82</v>
      </c>
      <c r="C31" s="144">
        <v>70</v>
      </c>
      <c r="D31" s="22"/>
      <c r="E31" s="22"/>
      <c r="G31" s="22"/>
    </row>
    <row r="32" spans="2:10" x14ac:dyDescent="0.3">
      <c r="B32" s="26" t="s">
        <v>83</v>
      </c>
      <c r="C32" s="144">
        <v>30</v>
      </c>
      <c r="D32" s="27"/>
      <c r="E32" s="28"/>
      <c r="G32" s="27"/>
    </row>
    <row r="33" spans="2:7" ht="15" thickBot="1" x14ac:dyDescent="0.35">
      <c r="B33" s="15" t="s">
        <v>84</v>
      </c>
      <c r="C33" s="141">
        <v>200</v>
      </c>
      <c r="D33" s="24"/>
      <c r="E33" s="28"/>
      <c r="G33" s="27"/>
    </row>
    <row r="34" spans="2:7" ht="15" hidden="1" thickBot="1" x14ac:dyDescent="0.35">
      <c r="B34" s="16" t="s">
        <v>80</v>
      </c>
      <c r="C34" s="147">
        <f>SUM(C30:C33)</f>
        <v>450</v>
      </c>
      <c r="D34" s="39" t="s">
        <v>25</v>
      </c>
      <c r="G34" s="27"/>
    </row>
    <row r="35" spans="2:7" ht="15" hidden="1" thickBot="1" x14ac:dyDescent="0.35">
      <c r="B35" s="34" t="s">
        <v>26</v>
      </c>
      <c r="C35" s="148">
        <f>C29-C34</f>
        <v>650</v>
      </c>
      <c r="D35" s="39" t="s">
        <v>27</v>
      </c>
      <c r="G35" s="27"/>
    </row>
    <row r="36" spans="2:7" x14ac:dyDescent="0.3">
      <c r="B36" s="73" t="s">
        <v>85</v>
      </c>
      <c r="C36" s="149">
        <v>1350</v>
      </c>
      <c r="D36" s="27"/>
    </row>
    <row r="37" spans="2:7" x14ac:dyDescent="0.3">
      <c r="B37" s="26" t="s">
        <v>87</v>
      </c>
      <c r="C37" s="143">
        <v>0.8</v>
      </c>
      <c r="D37" s="27"/>
    </row>
    <row r="38" spans="2:7" ht="15" thickBot="1" x14ac:dyDescent="0.35">
      <c r="B38" s="33" t="s">
        <v>104</v>
      </c>
      <c r="C38" s="141">
        <v>0.6</v>
      </c>
      <c r="D38" s="24"/>
    </row>
    <row r="39" spans="2:7" ht="15" hidden="1" customHeight="1" thickBot="1" x14ac:dyDescent="0.35">
      <c r="B39" s="34" t="s">
        <v>88</v>
      </c>
      <c r="C39" s="30">
        <f>C36*C37</f>
        <v>1080</v>
      </c>
      <c r="D39" s="40" t="s">
        <v>28</v>
      </c>
    </row>
    <row r="40" spans="2:7" ht="15" thickBot="1" x14ac:dyDescent="0.35">
      <c r="B40" s="34" t="s">
        <v>89</v>
      </c>
      <c r="C40" s="132">
        <v>10</v>
      </c>
      <c r="D40" s="39" t="s">
        <v>29</v>
      </c>
    </row>
    <row r="41" spans="2:7" ht="15" hidden="1" thickBot="1" x14ac:dyDescent="0.35">
      <c r="B41" s="3" t="s">
        <v>30</v>
      </c>
      <c r="C41" s="3">
        <f>PC+1</f>
        <v>11</v>
      </c>
      <c r="D41" s="39" t="s">
        <v>31</v>
      </c>
    </row>
    <row r="42" spans="2:7" ht="15" hidden="1" thickBot="1" x14ac:dyDescent="0.35">
      <c r="B42" s="3" t="s">
        <v>90</v>
      </c>
      <c r="C42" s="3">
        <f>Age-on</f>
        <v>10</v>
      </c>
      <c r="D42" s="39" t="s">
        <v>32</v>
      </c>
    </row>
    <row r="43" spans="2:7" ht="15" hidden="1" thickBot="1" x14ac:dyDescent="0.35">
      <c r="B43" s="3" t="s">
        <v>91</v>
      </c>
      <c r="C43" s="3">
        <f>PC</f>
        <v>10</v>
      </c>
      <c r="D43" s="39" t="s">
        <v>33</v>
      </c>
    </row>
    <row r="44" spans="2:7" x14ac:dyDescent="0.3">
      <c r="B44" s="14" t="s">
        <v>110</v>
      </c>
      <c r="C44" s="150">
        <v>0.05</v>
      </c>
      <c r="D44" s="41" t="s">
        <v>34</v>
      </c>
    </row>
    <row r="45" spans="2:7" hidden="1" x14ac:dyDescent="0.3">
      <c r="C45" s="151"/>
    </row>
    <row r="46" spans="2:7" ht="15" hidden="1" thickBot="1" x14ac:dyDescent="0.35">
      <c r="B46" s="127" t="s">
        <v>95</v>
      </c>
      <c r="C46" s="152"/>
    </row>
    <row r="47" spans="2:7" x14ac:dyDescent="0.3">
      <c r="B47" s="13" t="s">
        <v>96</v>
      </c>
      <c r="C47" s="153">
        <v>0.05</v>
      </c>
    </row>
    <row r="48" spans="2:7" x14ac:dyDescent="0.3">
      <c r="B48" s="68" t="s">
        <v>97</v>
      </c>
      <c r="C48" s="154">
        <v>0.02</v>
      </c>
    </row>
    <row r="49" spans="2:3" x14ac:dyDescent="0.3">
      <c r="B49" s="35" t="s">
        <v>98</v>
      </c>
      <c r="C49" s="155">
        <v>1.4999999999999999E-2</v>
      </c>
    </row>
  </sheetData>
  <sheetProtection sheet="1" objects="1" scenarios="1"/>
  <conditionalFormatting sqref="H16">
    <cfRule type="containsText" dxfId="7" priority="1" operator="containsText" text="Retain Open or Replace with Home-Raised Heifer">
      <formula>NOT(ISERROR(SEARCH("Retain Open or Replace with Home-Raised Heifer",H16)))</formula>
    </cfRule>
    <cfRule type="containsText" dxfId="6" priority="3" operator="containsText" text="Retain Open or Replace with Home-Raised Heifer">
      <formula>NOT(ISERROR(SEARCH("Retain Open or Replace with Home-Raised Heifer",H16)))</formula>
    </cfRule>
    <cfRule type="containsText" dxfId="5" priority="5" operator="containsText" text="Replace With Home-Raised Heifer">
      <formula>NOT(ISERROR(SEARCH("Replace With Home-Raised Heifer",H16)))</formula>
    </cfRule>
  </conditionalFormatting>
  <conditionalFormatting sqref="H16:H17">
    <cfRule type="containsText" dxfId="4" priority="4" operator="containsText" text="Replace With Purchased Heifer">
      <formula>NOT(ISERROR(SEARCH("Replace With Purchased Heifer",H16)))</formula>
    </cfRule>
    <cfRule type="containsText" dxfId="3" priority="6" operator="containsText" text="Retain Open Female">
      <formula>NOT(ISERROR(SEARCH("Retain Open Female",H16)))</formula>
    </cfRule>
  </conditionalFormatting>
  <conditionalFormatting sqref="H17">
    <cfRule type="containsText" dxfId="2" priority="2" operator="containsText" text="Retain Open or Replace With Purchased Heifer">
      <formula>NOT(ISERROR(SEARCH("Retain Open or Replace With Purchased Heifer",H17)))</formula>
    </cfRule>
  </conditionalFormatting>
  <pageMargins left="0.7" right="0.7" top="0.75" bottom="0.75" header="0.3" footer="0.3"/>
  <pageSetup scale="81" orientation="landscape" r:id="rId1"/>
  <colBreaks count="1" manualBreakCount="1">
    <brk id="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2" r:id="rId4" name="Spinner 6">
              <controlPr defaultSize="0" autoPict="0">
                <anchor moveWithCells="1" sizeWithCells="1">
                  <from>
                    <xdr:col>4</xdr:col>
                    <xdr:colOff>60960</xdr:colOff>
                    <xdr:row>38</xdr:row>
                    <xdr:rowOff>175260</xdr:rowOff>
                  </from>
                  <to>
                    <xdr:col>4</xdr:col>
                    <xdr:colOff>320040</xdr:colOff>
                    <xdr:row>40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5" name="Spinner 9">
              <controlPr defaultSize="0" autoPict="0">
                <anchor moveWithCells="1" sizeWithCells="1">
                  <from>
                    <xdr:col>4</xdr:col>
                    <xdr:colOff>91440</xdr:colOff>
                    <xdr:row>15</xdr:row>
                    <xdr:rowOff>182880</xdr:rowOff>
                  </from>
                  <to>
                    <xdr:col>4</xdr:col>
                    <xdr:colOff>304800</xdr:colOff>
                    <xdr:row>17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CE0F4-EE18-42C1-904E-D232F4D3A6DA}">
  <sheetPr codeName="Sheet1">
    <tabColor rgb="FFCC66FF"/>
  </sheetPr>
  <dimension ref="B1:T370"/>
  <sheetViews>
    <sheetView zoomScale="120" zoomScaleNormal="120" workbookViewId="0">
      <selection activeCell="E5" sqref="E5"/>
    </sheetView>
  </sheetViews>
  <sheetFormatPr defaultColWidth="9.21875" defaultRowHeight="14.4" x14ac:dyDescent="0.3"/>
  <cols>
    <col min="1" max="1" width="9.21875" style="13"/>
    <col min="2" max="2" width="17.33203125" style="13" bestFit="1" customWidth="1"/>
    <col min="3" max="3" width="17" style="13" bestFit="1" customWidth="1"/>
    <col min="4" max="4" width="16.88671875" style="13" bestFit="1" customWidth="1"/>
    <col min="5" max="5" width="14.44140625" style="13" bestFit="1" customWidth="1"/>
    <col min="6" max="6" width="11.77734375" style="13" bestFit="1" customWidth="1"/>
    <col min="7" max="7" width="15.77734375" style="13" bestFit="1" customWidth="1"/>
    <col min="8" max="8" width="11.21875" style="13" bestFit="1" customWidth="1"/>
    <col min="9" max="9" width="10.33203125" style="13" bestFit="1" customWidth="1"/>
    <col min="10" max="10" width="9.33203125" style="13" bestFit="1" customWidth="1"/>
    <col min="11" max="13" width="12" style="13" bestFit="1" customWidth="1"/>
    <col min="14" max="14" width="12.5546875" style="13" bestFit="1" customWidth="1"/>
    <col min="15" max="15" width="9.21875" style="13"/>
    <col min="16" max="16" width="14.109375" style="13" bestFit="1" customWidth="1"/>
    <col min="17" max="19" width="12" style="13" bestFit="1" customWidth="1"/>
    <col min="20" max="20" width="12.5546875" style="13" bestFit="1" customWidth="1"/>
    <col min="21" max="16384" width="9.21875" style="13"/>
  </cols>
  <sheetData>
    <row r="1" spans="2:7" s="6" customFormat="1" x14ac:dyDescent="0.3">
      <c r="B1" s="138" t="s">
        <v>99</v>
      </c>
      <c r="C1" s="138"/>
      <c r="D1" s="138"/>
      <c r="E1" s="138"/>
      <c r="F1" s="138"/>
      <c r="G1" s="42"/>
    </row>
    <row r="2" spans="2:7" x14ac:dyDescent="0.3">
      <c r="B2" s="50" t="s">
        <v>0</v>
      </c>
      <c r="C2" s="50" t="s">
        <v>109</v>
      </c>
      <c r="D2" s="50" t="s">
        <v>2</v>
      </c>
      <c r="E2" s="50" t="s">
        <v>3</v>
      </c>
      <c r="F2" s="50" t="s">
        <v>4</v>
      </c>
      <c r="G2" s="50" t="s">
        <v>75</v>
      </c>
    </row>
    <row r="3" spans="2:7" x14ac:dyDescent="0.3">
      <c r="B3" s="1">
        <v>2</v>
      </c>
      <c r="C3" s="45">
        <f t="shared" ref="C3:C5" si="0">1-SUM(D3:F3)</f>
        <v>0.95940000000000003</v>
      </c>
      <c r="D3" s="45">
        <f>D6-0.03</f>
        <v>2.0000000000000004E-2</v>
      </c>
      <c r="E3" s="48">
        <f>E6-0.013</f>
        <v>7.000000000000001E-3</v>
      </c>
      <c r="F3" s="48">
        <f>F6-0.0014</f>
        <v>1.3599999999999999E-2</v>
      </c>
      <c r="G3" s="44">
        <f>SUM(C3:F3)</f>
        <v>1</v>
      </c>
    </row>
    <row r="4" spans="2:7" x14ac:dyDescent="0.3">
      <c r="B4" s="1">
        <v>3</v>
      </c>
      <c r="C4" s="45">
        <f t="shared" si="0"/>
        <v>0.94940000000000002</v>
      </c>
      <c r="D4" s="45">
        <f>D6-0.02</f>
        <v>3.0000000000000002E-2</v>
      </c>
      <c r="E4" s="46">
        <f>E6-0.013</f>
        <v>7.000000000000001E-3</v>
      </c>
      <c r="F4" s="46">
        <f>F6-0.0014</f>
        <v>1.3599999999999999E-2</v>
      </c>
      <c r="G4" s="44">
        <f t="shared" ref="G4:G5" si="1">SUM(C4:F4)</f>
        <v>1</v>
      </c>
    </row>
    <row r="5" spans="2:7" x14ac:dyDescent="0.3">
      <c r="B5" s="1">
        <v>4</v>
      </c>
      <c r="C5" s="45">
        <f t="shared" si="0"/>
        <v>0.93479999999999996</v>
      </c>
      <c r="D5" s="45">
        <f>D6-0.01</f>
        <v>0.04</v>
      </c>
      <c r="E5" s="46">
        <f>E4+0.0046</f>
        <v>1.1600000000000001E-2</v>
      </c>
      <c r="F5" s="46">
        <f>F6-0.0014</f>
        <v>1.3599999999999999E-2</v>
      </c>
      <c r="G5" s="44">
        <f t="shared" si="1"/>
        <v>1</v>
      </c>
    </row>
    <row r="6" spans="2:7" x14ac:dyDescent="0.3">
      <c r="B6" s="43">
        <v>5</v>
      </c>
      <c r="C6" s="49">
        <f>1-SUM(D6:F6)</f>
        <v>0.91500000000000004</v>
      </c>
      <c r="D6" s="51">
        <f>'Variable Inputs'!C47</f>
        <v>0.05</v>
      </c>
      <c r="E6" s="52">
        <f>'Variable Inputs'!C48</f>
        <v>0.02</v>
      </c>
      <c r="F6" s="51">
        <f>'Variable Inputs'!C49</f>
        <v>1.4999999999999999E-2</v>
      </c>
      <c r="G6" s="44">
        <f>SUM(C6:F6)</f>
        <v>1</v>
      </c>
    </row>
    <row r="7" spans="2:7" x14ac:dyDescent="0.3">
      <c r="B7" s="1">
        <v>6</v>
      </c>
      <c r="C7" s="45">
        <f t="shared" ref="C7:C12" si="2">1-SUM(D7:F7)</f>
        <v>0.89690000000000003</v>
      </c>
      <c r="D7" s="47">
        <f>$D$6</f>
        <v>0.05</v>
      </c>
      <c r="E7" s="46">
        <f>E6+0.0112</f>
        <v>3.1199999999999999E-2</v>
      </c>
      <c r="F7" s="46">
        <f>F6+0.0069</f>
        <v>2.1899999999999999E-2</v>
      </c>
      <c r="G7" s="44">
        <f t="shared" ref="G7:G12" si="3">SUM(C7:F7)</f>
        <v>1</v>
      </c>
    </row>
    <row r="8" spans="2:7" x14ac:dyDescent="0.3">
      <c r="B8" s="1">
        <v>7</v>
      </c>
      <c r="C8" s="45">
        <f t="shared" si="2"/>
        <v>0.87559999999999993</v>
      </c>
      <c r="D8" s="47">
        <f t="shared" ref="D8:D12" si="4">$D$6</f>
        <v>0.05</v>
      </c>
      <c r="E8" s="46">
        <f>E7+0.0144</f>
        <v>4.5600000000000002E-2</v>
      </c>
      <c r="F8" s="46">
        <f>F7+0.0069</f>
        <v>2.8799999999999999E-2</v>
      </c>
      <c r="G8" s="44">
        <f t="shared" si="3"/>
        <v>1</v>
      </c>
    </row>
    <row r="9" spans="2:7" x14ac:dyDescent="0.3">
      <c r="B9" s="1">
        <v>8</v>
      </c>
      <c r="C9" s="45">
        <f t="shared" si="2"/>
        <v>0.85109999999999997</v>
      </c>
      <c r="D9" s="47">
        <f t="shared" si="4"/>
        <v>0.05</v>
      </c>
      <c r="E9" s="46">
        <f>E8+0.0177</f>
        <v>6.3299999999999995E-2</v>
      </c>
      <c r="F9" s="46">
        <f>F8+0.0068</f>
        <v>3.56E-2</v>
      </c>
      <c r="G9" s="44">
        <f t="shared" si="3"/>
        <v>1</v>
      </c>
    </row>
    <row r="10" spans="2:7" x14ac:dyDescent="0.3">
      <c r="B10" s="1">
        <v>9</v>
      </c>
      <c r="C10" s="45">
        <f t="shared" si="2"/>
        <v>0.82319999999999993</v>
      </c>
      <c r="D10" s="47">
        <f t="shared" si="4"/>
        <v>0.05</v>
      </c>
      <c r="E10" s="46">
        <f>E9+0.021</f>
        <v>8.43E-2</v>
      </c>
      <c r="F10" s="46">
        <f>F9+0.0069</f>
        <v>4.2499999999999996E-2</v>
      </c>
      <c r="G10" s="44">
        <f t="shared" si="3"/>
        <v>1</v>
      </c>
    </row>
    <row r="11" spans="2:7" x14ac:dyDescent="0.3">
      <c r="B11" s="1">
        <v>10</v>
      </c>
      <c r="C11" s="45">
        <f t="shared" si="2"/>
        <v>0.79200000000000004</v>
      </c>
      <c r="D11" s="47">
        <f t="shared" si="4"/>
        <v>0.05</v>
      </c>
      <c r="E11" s="46">
        <f>E10+0.0243</f>
        <v>0.1086</v>
      </c>
      <c r="F11" s="46">
        <f>F10+0.0069</f>
        <v>4.9399999999999999E-2</v>
      </c>
      <c r="G11" s="44">
        <f t="shared" si="3"/>
        <v>1</v>
      </c>
    </row>
    <row r="12" spans="2:7" x14ac:dyDescent="0.3">
      <c r="B12" s="1">
        <v>11</v>
      </c>
      <c r="C12" s="45">
        <f t="shared" si="2"/>
        <v>0.75770000000000004</v>
      </c>
      <c r="D12" s="47">
        <f t="shared" si="4"/>
        <v>0.05</v>
      </c>
      <c r="E12" s="46">
        <f>E11+0.0275</f>
        <v>0.1361</v>
      </c>
      <c r="F12" s="46">
        <f>F11+0.0068</f>
        <v>5.62E-2</v>
      </c>
      <c r="G12" s="44">
        <f t="shared" si="3"/>
        <v>1</v>
      </c>
    </row>
    <row r="18" spans="2:20" x14ac:dyDescent="0.3">
      <c r="B18" s="139" t="s">
        <v>106</v>
      </c>
      <c r="C18" s="139"/>
      <c r="D18" s="139"/>
      <c r="E18" s="139"/>
      <c r="H18" s="139" t="s">
        <v>107</v>
      </c>
      <c r="I18" s="139"/>
      <c r="J18" s="139"/>
      <c r="K18" s="139"/>
      <c r="L18" s="139"/>
      <c r="M18" s="139"/>
      <c r="N18" s="139"/>
    </row>
    <row r="19" spans="2:20" s="63" customFormat="1" x14ac:dyDescent="0.3">
      <c r="B19" s="75" t="s">
        <v>5</v>
      </c>
      <c r="C19" s="75" t="s">
        <v>6</v>
      </c>
      <c r="D19" s="75" t="s">
        <v>7</v>
      </c>
      <c r="E19" s="75" t="s">
        <v>8</v>
      </c>
      <c r="H19" s="75" t="s">
        <v>9</v>
      </c>
      <c r="I19" s="76" t="s">
        <v>10</v>
      </c>
      <c r="J19" s="75" t="s">
        <v>11</v>
      </c>
      <c r="K19" s="75" t="s">
        <v>12</v>
      </c>
      <c r="L19" s="75" t="s">
        <v>13</v>
      </c>
      <c r="M19" s="75" t="s">
        <v>14</v>
      </c>
      <c r="N19" s="75" t="s">
        <v>15</v>
      </c>
      <c r="P19" s="75" t="s">
        <v>16</v>
      </c>
      <c r="Q19" s="75" t="s">
        <v>12</v>
      </c>
      <c r="R19" s="75" t="s">
        <v>13</v>
      </c>
      <c r="S19" s="75" t="s">
        <v>14</v>
      </c>
      <c r="T19" s="75" t="s">
        <v>15</v>
      </c>
    </row>
    <row r="20" spans="2:20" x14ac:dyDescent="0.3">
      <c r="B20" s="43">
        <v>2</v>
      </c>
      <c r="C20" s="77">
        <f>CONVERT(27.2, "kg", "lbm")</f>
        <v>59.965735314286697</v>
      </c>
      <c r="D20" s="77">
        <f>CONVERT(24.5, "kg", "lbm")</f>
        <v>54.013254235295001</v>
      </c>
      <c r="E20" s="77">
        <f t="shared" ref="E20:E29" si="5">AVERAGE(C20:D20)</f>
        <v>56.989494774790849</v>
      </c>
      <c r="H20" s="43">
        <v>350</v>
      </c>
      <c r="I20" s="43">
        <v>450</v>
      </c>
      <c r="J20" s="74">
        <f>'Variable Inputs'!C23-'Variable Inputs'!C22</f>
        <v>0.25</v>
      </c>
      <c r="K20" s="78">
        <f>-(($E$20/100)*J20)</f>
        <v>-0.14247373693697712</v>
      </c>
      <c r="L20" s="78">
        <f>-(($E$21/100)*J20)</f>
        <v>-9.4798772739497356E-2</v>
      </c>
      <c r="M20" s="78">
        <f>-(($E$22/100)*J20)</f>
        <v>-4.7674964197479769E-2</v>
      </c>
      <c r="N20" s="78">
        <f>-(($E$29/100)*J20)</f>
        <v>-4.7674964197479769E-2</v>
      </c>
      <c r="P20" s="43">
        <v>400</v>
      </c>
      <c r="Q20" s="78">
        <f t="shared" ref="Q20:Q32" si="6">VLOOKUP(P20,$H$20:$N$23,4, TRUE)</f>
        <v>-0.14247373693697712</v>
      </c>
      <c r="R20" s="78">
        <f t="shared" ref="R20:R32" si="7">VLOOKUP(P20,$H$20:$N$23,5, TRUE)</f>
        <v>-9.4798772739497356E-2</v>
      </c>
      <c r="S20" s="78">
        <f t="shared" ref="S20:S32" si="8">VLOOKUP(P20,$H$20:$N$23,6, TRUE)</f>
        <v>-4.7674964197479769E-2</v>
      </c>
      <c r="T20" s="78">
        <f t="shared" ref="T20:T32" si="9">VLOOKUP(P20,$H$20:$N$23,7, TRUE)</f>
        <v>-4.7674964197479769E-2</v>
      </c>
    </row>
    <row r="21" spans="2:20" x14ac:dyDescent="0.3">
      <c r="B21" s="43">
        <v>3</v>
      </c>
      <c r="C21" s="77">
        <f>CONVERT(18.1, "kg", "lbm")</f>
        <v>39.903669455462847</v>
      </c>
      <c r="D21" s="77">
        <f>CONVERT(16.3, "kg", "lbm")</f>
        <v>35.935348736135047</v>
      </c>
      <c r="E21" s="77">
        <f t="shared" si="5"/>
        <v>37.919509095798944</v>
      </c>
      <c r="H21" s="43">
        <v>450</v>
      </c>
      <c r="I21" s="43">
        <v>550</v>
      </c>
      <c r="J21" s="74">
        <f>'Variable Inputs'!C24-'Variable Inputs'!C23</f>
        <v>0.25</v>
      </c>
      <c r="K21" s="78">
        <f>-(($E$20/100)*J21)</f>
        <v>-0.14247373693697712</v>
      </c>
      <c r="L21" s="78">
        <f>-(($E$21/100)*J21)</f>
        <v>-9.4798772739497356E-2</v>
      </c>
      <c r="M21" s="78">
        <f>-(($E$22/100)*J21)</f>
        <v>-4.7674964197479769E-2</v>
      </c>
      <c r="N21" s="78">
        <f>-(($E$29/100)*J21)</f>
        <v>-4.7674964197479769E-2</v>
      </c>
      <c r="P21" s="43">
        <v>401</v>
      </c>
      <c r="Q21" s="78">
        <f t="shared" si="6"/>
        <v>-0.14247373693697712</v>
      </c>
      <c r="R21" s="78">
        <f t="shared" si="7"/>
        <v>-9.4798772739497356E-2</v>
      </c>
      <c r="S21" s="78">
        <f t="shared" si="8"/>
        <v>-4.7674964197479769E-2</v>
      </c>
      <c r="T21" s="78">
        <f t="shared" si="9"/>
        <v>-4.7674964197479769E-2</v>
      </c>
    </row>
    <row r="22" spans="2:20" x14ac:dyDescent="0.3">
      <c r="B22" s="43">
        <v>4</v>
      </c>
      <c r="C22" s="77">
        <f>CONVERT(9.1, "kg", "lbm")</f>
        <v>20.062065858823861</v>
      </c>
      <c r="D22" s="77">
        <f>CONVERT(8.2, "kg", "lbm")</f>
        <v>18.077905499159957</v>
      </c>
      <c r="E22" s="77">
        <f t="shared" si="5"/>
        <v>19.069985678991909</v>
      </c>
      <c r="H22" s="43">
        <v>550</v>
      </c>
      <c r="I22" s="43">
        <v>650</v>
      </c>
      <c r="J22" s="74">
        <f>'Variable Inputs'!C25-'Variable Inputs'!C24</f>
        <v>0.25</v>
      </c>
      <c r="K22" s="78">
        <f>-(($E$20/100)*J22)</f>
        <v>-0.14247373693697712</v>
      </c>
      <c r="L22" s="78">
        <f>-(($E$21/100)*J22)</f>
        <v>-9.4798772739497356E-2</v>
      </c>
      <c r="M22" s="78">
        <f>-(($E$22/100)*J22)</f>
        <v>-4.7674964197479769E-2</v>
      </c>
      <c r="N22" s="78">
        <f>-(($E$29/100)*J22)</f>
        <v>-4.7674964197479769E-2</v>
      </c>
      <c r="P22" s="43">
        <v>402</v>
      </c>
      <c r="Q22" s="78">
        <f t="shared" si="6"/>
        <v>-0.14247373693697712</v>
      </c>
      <c r="R22" s="78">
        <f t="shared" si="7"/>
        <v>-9.4798772739497356E-2</v>
      </c>
      <c r="S22" s="78">
        <f t="shared" si="8"/>
        <v>-4.7674964197479769E-2</v>
      </c>
      <c r="T22" s="78">
        <f t="shared" si="9"/>
        <v>-4.7674964197479769E-2</v>
      </c>
    </row>
    <row r="23" spans="2:20" x14ac:dyDescent="0.3">
      <c r="B23" s="43">
        <v>5</v>
      </c>
      <c r="C23" s="77">
        <f t="shared" ref="C23:D28" si="10">CONVERT(0, "kg", "lbm")</f>
        <v>0</v>
      </c>
      <c r="D23" s="77">
        <f t="shared" si="10"/>
        <v>0</v>
      </c>
      <c r="E23" s="77">
        <f t="shared" si="5"/>
        <v>0</v>
      </c>
      <c r="H23" s="43">
        <v>650</v>
      </c>
      <c r="I23" s="43">
        <v>750</v>
      </c>
      <c r="J23" s="74">
        <f>'Variable Inputs'!C26-'Variable Inputs'!C25</f>
        <v>0.25</v>
      </c>
      <c r="K23" s="78">
        <f>-(($E$20/100)*J23)</f>
        <v>-0.14247373693697712</v>
      </c>
      <c r="L23" s="78">
        <f>-(($E$21/100)*J23)</f>
        <v>-9.4798772739497356E-2</v>
      </c>
      <c r="M23" s="78">
        <f>-(($E$22/100)*J23)</f>
        <v>-4.7674964197479769E-2</v>
      </c>
      <c r="N23" s="78">
        <f>-(($E$29/100)*J23)</f>
        <v>-4.7674964197479769E-2</v>
      </c>
      <c r="P23" s="43">
        <v>403</v>
      </c>
      <c r="Q23" s="78">
        <f t="shared" si="6"/>
        <v>-0.14247373693697712</v>
      </c>
      <c r="R23" s="78">
        <f t="shared" si="7"/>
        <v>-9.4798772739497356E-2</v>
      </c>
      <c r="S23" s="78">
        <f t="shared" si="8"/>
        <v>-4.7674964197479769E-2</v>
      </c>
      <c r="T23" s="78">
        <f t="shared" si="9"/>
        <v>-4.7674964197479769E-2</v>
      </c>
    </row>
    <row r="24" spans="2:20" x14ac:dyDescent="0.3">
      <c r="B24" s="43">
        <v>6</v>
      </c>
      <c r="C24" s="77">
        <f t="shared" si="10"/>
        <v>0</v>
      </c>
      <c r="D24" s="77">
        <f t="shared" si="10"/>
        <v>0</v>
      </c>
      <c r="E24" s="77">
        <f t="shared" si="5"/>
        <v>0</v>
      </c>
      <c r="H24" s="79"/>
      <c r="P24" s="43">
        <v>404</v>
      </c>
      <c r="Q24" s="78">
        <f t="shared" si="6"/>
        <v>-0.14247373693697712</v>
      </c>
      <c r="R24" s="78">
        <f t="shared" si="7"/>
        <v>-9.4798772739497356E-2</v>
      </c>
      <c r="S24" s="78">
        <f t="shared" si="8"/>
        <v>-4.7674964197479769E-2</v>
      </c>
      <c r="T24" s="78">
        <f t="shared" si="9"/>
        <v>-4.7674964197479769E-2</v>
      </c>
    </row>
    <row r="25" spans="2:20" x14ac:dyDescent="0.3">
      <c r="B25" s="43">
        <v>7</v>
      </c>
      <c r="C25" s="77">
        <f t="shared" si="10"/>
        <v>0</v>
      </c>
      <c r="D25" s="77">
        <f t="shared" si="10"/>
        <v>0</v>
      </c>
      <c r="E25" s="77">
        <f t="shared" si="5"/>
        <v>0</v>
      </c>
      <c r="P25" s="43">
        <v>405</v>
      </c>
      <c r="Q25" s="78">
        <f t="shared" si="6"/>
        <v>-0.14247373693697712</v>
      </c>
      <c r="R25" s="78">
        <f t="shared" si="7"/>
        <v>-9.4798772739497356E-2</v>
      </c>
      <c r="S25" s="78">
        <f t="shared" si="8"/>
        <v>-4.7674964197479769E-2</v>
      </c>
      <c r="T25" s="78">
        <f t="shared" si="9"/>
        <v>-4.7674964197479769E-2</v>
      </c>
    </row>
    <row r="26" spans="2:20" x14ac:dyDescent="0.3">
      <c r="B26" s="43">
        <v>8</v>
      </c>
      <c r="C26" s="77">
        <f t="shared" si="10"/>
        <v>0</v>
      </c>
      <c r="D26" s="77">
        <f t="shared" si="10"/>
        <v>0</v>
      </c>
      <c r="E26" s="77">
        <f t="shared" si="5"/>
        <v>0</v>
      </c>
      <c r="P26" s="43">
        <v>406</v>
      </c>
      <c r="Q26" s="78">
        <f t="shared" si="6"/>
        <v>-0.14247373693697712</v>
      </c>
      <c r="R26" s="78">
        <f t="shared" si="7"/>
        <v>-9.4798772739497356E-2</v>
      </c>
      <c r="S26" s="78">
        <f t="shared" si="8"/>
        <v>-4.7674964197479769E-2</v>
      </c>
      <c r="T26" s="78">
        <f t="shared" si="9"/>
        <v>-4.7674964197479769E-2</v>
      </c>
    </row>
    <row r="27" spans="2:20" x14ac:dyDescent="0.3">
      <c r="B27" s="43">
        <v>9</v>
      </c>
      <c r="C27" s="77">
        <f t="shared" si="10"/>
        <v>0</v>
      </c>
      <c r="D27" s="77">
        <f t="shared" si="10"/>
        <v>0</v>
      </c>
      <c r="E27" s="77">
        <f t="shared" si="5"/>
        <v>0</v>
      </c>
      <c r="P27" s="43">
        <v>407</v>
      </c>
      <c r="Q27" s="78">
        <f t="shared" si="6"/>
        <v>-0.14247373693697712</v>
      </c>
      <c r="R27" s="78">
        <f t="shared" si="7"/>
        <v>-9.4798772739497356E-2</v>
      </c>
      <c r="S27" s="78">
        <f t="shared" si="8"/>
        <v>-4.7674964197479769E-2</v>
      </c>
      <c r="T27" s="78">
        <f t="shared" si="9"/>
        <v>-4.7674964197479769E-2</v>
      </c>
    </row>
    <row r="28" spans="2:20" x14ac:dyDescent="0.3">
      <c r="B28" s="43">
        <v>10</v>
      </c>
      <c r="C28" s="77">
        <f t="shared" si="10"/>
        <v>0</v>
      </c>
      <c r="D28" s="77">
        <f t="shared" si="10"/>
        <v>0</v>
      </c>
      <c r="E28" s="77">
        <f t="shared" si="5"/>
        <v>0</v>
      </c>
      <c r="P28" s="43">
        <v>408</v>
      </c>
      <c r="Q28" s="78">
        <f t="shared" si="6"/>
        <v>-0.14247373693697712</v>
      </c>
      <c r="R28" s="78">
        <f t="shared" si="7"/>
        <v>-9.4798772739497356E-2</v>
      </c>
      <c r="S28" s="78">
        <f t="shared" si="8"/>
        <v>-4.7674964197479769E-2</v>
      </c>
      <c r="T28" s="78">
        <f t="shared" si="9"/>
        <v>-4.7674964197479769E-2</v>
      </c>
    </row>
    <row r="29" spans="2:20" x14ac:dyDescent="0.3">
      <c r="B29" s="43">
        <v>11</v>
      </c>
      <c r="C29" s="77">
        <f>CONVERT(9.1, "kg", "lbm")</f>
        <v>20.062065858823861</v>
      </c>
      <c r="D29" s="77">
        <f>CONVERT(8.2, "kg", "lbm")</f>
        <v>18.077905499159957</v>
      </c>
      <c r="E29" s="77">
        <f t="shared" si="5"/>
        <v>19.069985678991909</v>
      </c>
      <c r="P29" s="43">
        <v>409</v>
      </c>
      <c r="Q29" s="78">
        <f t="shared" si="6"/>
        <v>-0.14247373693697712</v>
      </c>
      <c r="R29" s="78">
        <f t="shared" si="7"/>
        <v>-9.4798772739497356E-2</v>
      </c>
      <c r="S29" s="78">
        <f t="shared" si="8"/>
        <v>-4.7674964197479769E-2</v>
      </c>
      <c r="T29" s="78">
        <f t="shared" si="9"/>
        <v>-4.7674964197479769E-2</v>
      </c>
    </row>
    <row r="30" spans="2:20" x14ac:dyDescent="0.3">
      <c r="P30" s="43">
        <v>410</v>
      </c>
      <c r="Q30" s="78">
        <f t="shared" si="6"/>
        <v>-0.14247373693697712</v>
      </c>
      <c r="R30" s="78">
        <f t="shared" si="7"/>
        <v>-9.4798772739497356E-2</v>
      </c>
      <c r="S30" s="78">
        <f t="shared" si="8"/>
        <v>-4.7674964197479769E-2</v>
      </c>
      <c r="T30" s="78">
        <f t="shared" si="9"/>
        <v>-4.7674964197479769E-2</v>
      </c>
    </row>
    <row r="31" spans="2:20" x14ac:dyDescent="0.3">
      <c r="P31" s="43">
        <v>411</v>
      </c>
      <c r="Q31" s="78">
        <f t="shared" si="6"/>
        <v>-0.14247373693697712</v>
      </c>
      <c r="R31" s="78">
        <f t="shared" si="7"/>
        <v>-9.4798772739497356E-2</v>
      </c>
      <c r="S31" s="78">
        <f t="shared" si="8"/>
        <v>-4.7674964197479769E-2</v>
      </c>
      <c r="T31" s="78">
        <f t="shared" si="9"/>
        <v>-4.7674964197479769E-2</v>
      </c>
    </row>
    <row r="32" spans="2:20" x14ac:dyDescent="0.3">
      <c r="P32" s="43">
        <v>412</v>
      </c>
      <c r="Q32" s="78">
        <f t="shared" si="6"/>
        <v>-0.14247373693697712</v>
      </c>
      <c r="R32" s="78">
        <f t="shared" si="7"/>
        <v>-9.4798772739497356E-2</v>
      </c>
      <c r="S32" s="78">
        <f t="shared" si="8"/>
        <v>-4.7674964197479769E-2</v>
      </c>
      <c r="T32" s="78">
        <f t="shared" si="9"/>
        <v>-4.7674964197479769E-2</v>
      </c>
    </row>
    <row r="33" spans="2:20" x14ac:dyDescent="0.3">
      <c r="P33" s="43">
        <v>413</v>
      </c>
      <c r="Q33" s="78">
        <f>VLOOKUP(P33,'Probabilities &amp; Price Slide'!$H$20:$N$23,4, TRUE)</f>
        <v>-0.14247373693697712</v>
      </c>
      <c r="R33" s="78">
        <f>VLOOKUP(P33,'Probabilities &amp; Price Slide'!$H$20:$N$23,5, TRUE)</f>
        <v>-9.4798772739497356E-2</v>
      </c>
      <c r="S33" s="78">
        <f>VLOOKUP(P33,'Probabilities &amp; Price Slide'!$H$20:$N$23,6, TRUE)</f>
        <v>-4.7674964197479769E-2</v>
      </c>
      <c r="T33" s="78">
        <f>VLOOKUP(P33,'Probabilities &amp; Price Slide'!$H$20:$N$23,7, TRUE)</f>
        <v>-4.7674964197479769E-2</v>
      </c>
    </row>
    <row r="34" spans="2:20" x14ac:dyDescent="0.3">
      <c r="P34" s="43">
        <v>414</v>
      </c>
      <c r="Q34" s="78">
        <f>VLOOKUP(P34,'Probabilities &amp; Price Slide'!$H$20:$N$23,4, TRUE)</f>
        <v>-0.14247373693697712</v>
      </c>
      <c r="R34" s="78">
        <f>VLOOKUP(P34,'Probabilities &amp; Price Slide'!$H$20:$N$23,5, TRUE)</f>
        <v>-9.4798772739497356E-2</v>
      </c>
      <c r="S34" s="78">
        <f>VLOOKUP(P34,'Probabilities &amp; Price Slide'!$H$20:$N$23,6, TRUE)</f>
        <v>-4.7674964197479769E-2</v>
      </c>
      <c r="T34" s="78">
        <f>VLOOKUP(P34,'Probabilities &amp; Price Slide'!$H$20:$N$23,7, TRUE)</f>
        <v>-4.7674964197479769E-2</v>
      </c>
    </row>
    <row r="35" spans="2:20" x14ac:dyDescent="0.3">
      <c r="P35" s="43">
        <v>415</v>
      </c>
      <c r="Q35" s="78">
        <f>VLOOKUP(P35,'Probabilities &amp; Price Slide'!$H$20:$N$23,4, TRUE)</f>
        <v>-0.14247373693697712</v>
      </c>
      <c r="R35" s="78">
        <f>VLOOKUP(P35,'Probabilities &amp; Price Slide'!$H$20:$N$23,5, TRUE)</f>
        <v>-9.4798772739497356E-2</v>
      </c>
      <c r="S35" s="78">
        <f>VLOOKUP(P35,'Probabilities &amp; Price Slide'!$H$20:$N$23,6, TRUE)</f>
        <v>-4.7674964197479769E-2</v>
      </c>
      <c r="T35" s="78">
        <f>VLOOKUP(P35,'Probabilities &amp; Price Slide'!$H$20:$N$23,7, TRUE)</f>
        <v>-4.7674964197479769E-2</v>
      </c>
    </row>
    <row r="36" spans="2:20" x14ac:dyDescent="0.3">
      <c r="B36" s="6" t="s">
        <v>108</v>
      </c>
      <c r="P36" s="43">
        <v>416</v>
      </c>
      <c r="Q36" s="78">
        <f>VLOOKUP(P36,'Probabilities &amp; Price Slide'!$H$20:$N$23,4, TRUE)</f>
        <v>-0.14247373693697712</v>
      </c>
      <c r="R36" s="78">
        <f>VLOOKUP(P36,'Probabilities &amp; Price Slide'!$H$20:$N$23,5, TRUE)</f>
        <v>-9.4798772739497356E-2</v>
      </c>
      <c r="S36" s="78">
        <f>VLOOKUP(P36,'Probabilities &amp; Price Slide'!$H$20:$N$23,6, TRUE)</f>
        <v>-4.7674964197479769E-2</v>
      </c>
      <c r="T36" s="78">
        <f>VLOOKUP(P36,'Probabilities &amp; Price Slide'!$H$20:$N$23,7, TRUE)</f>
        <v>-4.7674964197479769E-2</v>
      </c>
    </row>
    <row r="37" spans="2:20" x14ac:dyDescent="0.3">
      <c r="B37" s="43" t="s">
        <v>105</v>
      </c>
      <c r="P37" s="43">
        <v>417</v>
      </c>
      <c r="Q37" s="78">
        <f>VLOOKUP(P37,'Probabilities &amp; Price Slide'!$H$20:$N$23,4, TRUE)</f>
        <v>-0.14247373693697712</v>
      </c>
      <c r="R37" s="78">
        <f>VLOOKUP(P37,'Probabilities &amp; Price Slide'!$H$20:$N$23,5, TRUE)</f>
        <v>-9.4798772739497356E-2</v>
      </c>
      <c r="S37" s="78">
        <f>VLOOKUP(P37,'Probabilities &amp; Price Slide'!$H$20:$N$23,6, TRUE)</f>
        <v>-4.7674964197479769E-2</v>
      </c>
      <c r="T37" s="78">
        <f>VLOOKUP(P37,'Probabilities &amp; Price Slide'!$H$20:$N$23,7, TRUE)</f>
        <v>-4.7674964197479769E-2</v>
      </c>
    </row>
    <row r="38" spans="2:20" x14ac:dyDescent="0.3">
      <c r="B38" s="74">
        <f>'Variable Inputs'!C38-'Variable Inputs'!C37</f>
        <v>-0.20000000000000007</v>
      </c>
      <c r="P38" s="43">
        <v>418</v>
      </c>
      <c r="Q38" s="78">
        <f>VLOOKUP(P38,'Probabilities &amp; Price Slide'!$H$20:$N$23,4, TRUE)</f>
        <v>-0.14247373693697712</v>
      </c>
      <c r="R38" s="78">
        <f>VLOOKUP(P38,'Probabilities &amp; Price Slide'!$H$20:$N$23,5, TRUE)</f>
        <v>-9.4798772739497356E-2</v>
      </c>
      <c r="S38" s="78">
        <f>VLOOKUP(P38,'Probabilities &amp; Price Slide'!$H$20:$N$23,6, TRUE)</f>
        <v>-4.7674964197479769E-2</v>
      </c>
      <c r="T38" s="78">
        <f>VLOOKUP(P38,'Probabilities &amp; Price Slide'!$H$20:$N$23,7, TRUE)</f>
        <v>-4.7674964197479769E-2</v>
      </c>
    </row>
    <row r="39" spans="2:20" x14ac:dyDescent="0.3">
      <c r="P39" s="43">
        <v>419</v>
      </c>
      <c r="Q39" s="78">
        <f>VLOOKUP(P39,'Probabilities &amp; Price Slide'!$H$20:$N$23,4, TRUE)</f>
        <v>-0.14247373693697712</v>
      </c>
      <c r="R39" s="78">
        <f>VLOOKUP(P39,'Probabilities &amp; Price Slide'!$H$20:$N$23,5, TRUE)</f>
        <v>-9.4798772739497356E-2</v>
      </c>
      <c r="S39" s="78">
        <f>VLOOKUP(P39,'Probabilities &amp; Price Slide'!$H$20:$N$23,6, TRUE)</f>
        <v>-4.7674964197479769E-2</v>
      </c>
      <c r="T39" s="78">
        <f>VLOOKUP(P39,'Probabilities &amp; Price Slide'!$H$20:$N$23,7, TRUE)</f>
        <v>-4.7674964197479769E-2</v>
      </c>
    </row>
    <row r="40" spans="2:20" x14ac:dyDescent="0.3">
      <c r="P40" s="43">
        <v>420</v>
      </c>
      <c r="Q40" s="78">
        <f>VLOOKUP(P40,'Probabilities &amp; Price Slide'!$H$20:$N$23,4, TRUE)</f>
        <v>-0.14247373693697712</v>
      </c>
      <c r="R40" s="78">
        <f>VLOOKUP(P40,'Probabilities &amp; Price Slide'!$H$20:$N$23,5, TRUE)</f>
        <v>-9.4798772739497356E-2</v>
      </c>
      <c r="S40" s="78">
        <f>VLOOKUP(P40,'Probabilities &amp; Price Slide'!$H$20:$N$23,6, TRUE)</f>
        <v>-4.7674964197479769E-2</v>
      </c>
      <c r="T40" s="78">
        <f>VLOOKUP(P40,'Probabilities &amp; Price Slide'!$H$20:$N$23,7, TRUE)</f>
        <v>-4.7674964197479769E-2</v>
      </c>
    </row>
    <row r="41" spans="2:20" x14ac:dyDescent="0.3">
      <c r="P41" s="43">
        <v>421</v>
      </c>
      <c r="Q41" s="78">
        <f>VLOOKUP(P41,'Probabilities &amp; Price Slide'!$H$20:$N$23,4, TRUE)</f>
        <v>-0.14247373693697712</v>
      </c>
      <c r="R41" s="78">
        <f>VLOOKUP(P41,'Probabilities &amp; Price Slide'!$H$20:$N$23,5, TRUE)</f>
        <v>-9.4798772739497356E-2</v>
      </c>
      <c r="S41" s="78">
        <f>VLOOKUP(P41,'Probabilities &amp; Price Slide'!$H$20:$N$23,6, TRUE)</f>
        <v>-4.7674964197479769E-2</v>
      </c>
      <c r="T41" s="78">
        <f>VLOOKUP(P41,'Probabilities &amp; Price Slide'!$H$20:$N$23,7, TRUE)</f>
        <v>-4.7674964197479769E-2</v>
      </c>
    </row>
    <row r="42" spans="2:20" x14ac:dyDescent="0.3">
      <c r="P42" s="43">
        <v>422</v>
      </c>
      <c r="Q42" s="78">
        <f>VLOOKUP(P42,'Probabilities &amp; Price Slide'!$H$20:$N$23,4, TRUE)</f>
        <v>-0.14247373693697712</v>
      </c>
      <c r="R42" s="78">
        <f>VLOOKUP(P42,'Probabilities &amp; Price Slide'!$H$20:$N$23,5, TRUE)</f>
        <v>-9.4798772739497356E-2</v>
      </c>
      <c r="S42" s="78">
        <f>VLOOKUP(P42,'Probabilities &amp; Price Slide'!$H$20:$N$23,6, TRUE)</f>
        <v>-4.7674964197479769E-2</v>
      </c>
      <c r="T42" s="78">
        <f>VLOOKUP(P42,'Probabilities &amp; Price Slide'!$H$20:$N$23,7, TRUE)</f>
        <v>-4.7674964197479769E-2</v>
      </c>
    </row>
    <row r="43" spans="2:20" x14ac:dyDescent="0.3">
      <c r="P43" s="43">
        <v>423</v>
      </c>
      <c r="Q43" s="78">
        <f>VLOOKUP(P43,'Probabilities &amp; Price Slide'!$H$20:$N$23,4, TRUE)</f>
        <v>-0.14247373693697712</v>
      </c>
      <c r="R43" s="78">
        <f>VLOOKUP(P43,'Probabilities &amp; Price Slide'!$H$20:$N$23,5, TRUE)</f>
        <v>-9.4798772739497356E-2</v>
      </c>
      <c r="S43" s="78">
        <f>VLOOKUP(P43,'Probabilities &amp; Price Slide'!$H$20:$N$23,6, TRUE)</f>
        <v>-4.7674964197479769E-2</v>
      </c>
      <c r="T43" s="78">
        <f>VLOOKUP(P43,'Probabilities &amp; Price Slide'!$H$20:$N$23,7, TRUE)</f>
        <v>-4.7674964197479769E-2</v>
      </c>
    </row>
    <row r="44" spans="2:20" x14ac:dyDescent="0.3">
      <c r="P44" s="43">
        <v>424</v>
      </c>
      <c r="Q44" s="78">
        <f>VLOOKUP(P44,'Probabilities &amp; Price Slide'!$H$20:$N$23,4, TRUE)</f>
        <v>-0.14247373693697712</v>
      </c>
      <c r="R44" s="78">
        <f>VLOOKUP(P44,'Probabilities &amp; Price Slide'!$H$20:$N$23,5, TRUE)</f>
        <v>-9.4798772739497356E-2</v>
      </c>
      <c r="S44" s="78">
        <f>VLOOKUP(P44,'Probabilities &amp; Price Slide'!$H$20:$N$23,6, TRUE)</f>
        <v>-4.7674964197479769E-2</v>
      </c>
      <c r="T44" s="78">
        <f>VLOOKUP(P44,'Probabilities &amp; Price Slide'!$H$20:$N$23,7, TRUE)</f>
        <v>-4.7674964197479769E-2</v>
      </c>
    </row>
    <row r="45" spans="2:20" x14ac:dyDescent="0.3">
      <c r="P45" s="43">
        <v>425</v>
      </c>
      <c r="Q45" s="78">
        <f>VLOOKUP(P45,'Probabilities &amp; Price Slide'!$H$20:$N$23,4, TRUE)</f>
        <v>-0.14247373693697712</v>
      </c>
      <c r="R45" s="78">
        <f>VLOOKUP(P45,'Probabilities &amp; Price Slide'!$H$20:$N$23,5, TRUE)</f>
        <v>-9.4798772739497356E-2</v>
      </c>
      <c r="S45" s="78">
        <f>VLOOKUP(P45,'Probabilities &amp; Price Slide'!$H$20:$N$23,6, TRUE)</f>
        <v>-4.7674964197479769E-2</v>
      </c>
      <c r="T45" s="78">
        <f>VLOOKUP(P45,'Probabilities &amp; Price Slide'!$H$20:$N$23,7, TRUE)</f>
        <v>-4.7674964197479769E-2</v>
      </c>
    </row>
    <row r="46" spans="2:20" x14ac:dyDescent="0.3">
      <c r="P46" s="43">
        <v>426</v>
      </c>
      <c r="Q46" s="78">
        <f>VLOOKUP(P46,'Probabilities &amp; Price Slide'!$H$20:$N$23,4, TRUE)</f>
        <v>-0.14247373693697712</v>
      </c>
      <c r="R46" s="78">
        <f>VLOOKUP(P46,'Probabilities &amp; Price Slide'!$H$20:$N$23,5, TRUE)</f>
        <v>-9.4798772739497356E-2</v>
      </c>
      <c r="S46" s="78">
        <f>VLOOKUP(P46,'Probabilities &amp; Price Slide'!$H$20:$N$23,6, TRUE)</f>
        <v>-4.7674964197479769E-2</v>
      </c>
      <c r="T46" s="78">
        <f>VLOOKUP(P46,'Probabilities &amp; Price Slide'!$H$20:$N$23,7, TRUE)</f>
        <v>-4.7674964197479769E-2</v>
      </c>
    </row>
    <row r="47" spans="2:20" x14ac:dyDescent="0.3">
      <c r="P47" s="43">
        <v>427</v>
      </c>
      <c r="Q47" s="78">
        <f>VLOOKUP(P47,'Probabilities &amp; Price Slide'!$H$20:$N$23,4, TRUE)</f>
        <v>-0.14247373693697712</v>
      </c>
      <c r="R47" s="78">
        <f>VLOOKUP(P47,'Probabilities &amp; Price Slide'!$H$20:$N$23,5, TRUE)</f>
        <v>-9.4798772739497356E-2</v>
      </c>
      <c r="S47" s="78">
        <f>VLOOKUP(P47,'Probabilities &amp; Price Slide'!$H$20:$N$23,6, TRUE)</f>
        <v>-4.7674964197479769E-2</v>
      </c>
      <c r="T47" s="78">
        <f>VLOOKUP(P47,'Probabilities &amp; Price Slide'!$H$20:$N$23,7, TRUE)</f>
        <v>-4.7674964197479769E-2</v>
      </c>
    </row>
    <row r="48" spans="2:20" x14ac:dyDescent="0.3">
      <c r="P48" s="43">
        <v>428</v>
      </c>
      <c r="Q48" s="78">
        <f>VLOOKUP(P48,'Probabilities &amp; Price Slide'!$H$20:$N$23,4, TRUE)</f>
        <v>-0.14247373693697712</v>
      </c>
      <c r="R48" s="78">
        <f>VLOOKUP(P48,'Probabilities &amp; Price Slide'!$H$20:$N$23,5, TRUE)</f>
        <v>-9.4798772739497356E-2</v>
      </c>
      <c r="S48" s="78">
        <f>VLOOKUP(P48,'Probabilities &amp; Price Slide'!$H$20:$N$23,6, TRUE)</f>
        <v>-4.7674964197479769E-2</v>
      </c>
      <c r="T48" s="78">
        <f>VLOOKUP(P48,'Probabilities &amp; Price Slide'!$H$20:$N$23,7, TRUE)</f>
        <v>-4.7674964197479769E-2</v>
      </c>
    </row>
    <row r="49" spans="16:20" x14ac:dyDescent="0.3">
      <c r="P49" s="43">
        <v>429</v>
      </c>
      <c r="Q49" s="78">
        <f>VLOOKUP(P49,'Probabilities &amp; Price Slide'!$H$20:$N$23,4, TRUE)</f>
        <v>-0.14247373693697712</v>
      </c>
      <c r="R49" s="78">
        <f>VLOOKUP(P49,'Probabilities &amp; Price Slide'!$H$20:$N$23,5, TRUE)</f>
        <v>-9.4798772739497356E-2</v>
      </c>
      <c r="S49" s="78">
        <f>VLOOKUP(P49,'Probabilities &amp; Price Slide'!$H$20:$N$23,6, TRUE)</f>
        <v>-4.7674964197479769E-2</v>
      </c>
      <c r="T49" s="78">
        <f>VLOOKUP(P49,'Probabilities &amp; Price Slide'!$H$20:$N$23,7, TRUE)</f>
        <v>-4.7674964197479769E-2</v>
      </c>
    </row>
    <row r="50" spans="16:20" x14ac:dyDescent="0.3">
      <c r="P50" s="43">
        <v>430</v>
      </c>
      <c r="Q50" s="78">
        <f>VLOOKUP(P50,'Probabilities &amp; Price Slide'!$H$20:$N$23,4, TRUE)</f>
        <v>-0.14247373693697712</v>
      </c>
      <c r="R50" s="78">
        <f>VLOOKUP(P50,'Probabilities &amp; Price Slide'!$H$20:$N$23,5, TRUE)</f>
        <v>-9.4798772739497356E-2</v>
      </c>
      <c r="S50" s="78">
        <f>VLOOKUP(P50,'Probabilities &amp; Price Slide'!$H$20:$N$23,6, TRUE)</f>
        <v>-4.7674964197479769E-2</v>
      </c>
      <c r="T50" s="78">
        <f>VLOOKUP(P50,'Probabilities &amp; Price Slide'!$H$20:$N$23,7, TRUE)</f>
        <v>-4.7674964197479769E-2</v>
      </c>
    </row>
    <row r="51" spans="16:20" x14ac:dyDescent="0.3">
      <c r="P51" s="43">
        <v>431</v>
      </c>
      <c r="Q51" s="78">
        <f>VLOOKUP(P51,'Probabilities &amp; Price Slide'!$H$20:$N$23,4, TRUE)</f>
        <v>-0.14247373693697712</v>
      </c>
      <c r="R51" s="78">
        <f>VLOOKUP(P51,'Probabilities &amp; Price Slide'!$H$20:$N$23,5, TRUE)</f>
        <v>-9.4798772739497356E-2</v>
      </c>
      <c r="S51" s="78">
        <f>VLOOKUP(P51,'Probabilities &amp; Price Slide'!$H$20:$N$23,6, TRUE)</f>
        <v>-4.7674964197479769E-2</v>
      </c>
      <c r="T51" s="78">
        <f>VLOOKUP(P51,'Probabilities &amp; Price Slide'!$H$20:$N$23,7, TRUE)</f>
        <v>-4.7674964197479769E-2</v>
      </c>
    </row>
    <row r="52" spans="16:20" x14ac:dyDescent="0.3">
      <c r="P52" s="43">
        <v>432</v>
      </c>
      <c r="Q52" s="78">
        <f>VLOOKUP(P52,'Probabilities &amp; Price Slide'!$H$20:$N$23,4, TRUE)</f>
        <v>-0.14247373693697712</v>
      </c>
      <c r="R52" s="78">
        <f>VLOOKUP(P52,'Probabilities &amp; Price Slide'!$H$20:$N$23,5, TRUE)</f>
        <v>-9.4798772739497356E-2</v>
      </c>
      <c r="S52" s="78">
        <f>VLOOKUP(P52,'Probabilities &amp; Price Slide'!$H$20:$N$23,6, TRUE)</f>
        <v>-4.7674964197479769E-2</v>
      </c>
      <c r="T52" s="78">
        <f>VLOOKUP(P52,'Probabilities &amp; Price Slide'!$H$20:$N$23,7, TRUE)</f>
        <v>-4.7674964197479769E-2</v>
      </c>
    </row>
    <row r="53" spans="16:20" x14ac:dyDescent="0.3">
      <c r="P53" s="43">
        <v>433</v>
      </c>
      <c r="Q53" s="78">
        <f>VLOOKUP(P53,'Probabilities &amp; Price Slide'!$H$20:$N$23,4, TRUE)</f>
        <v>-0.14247373693697712</v>
      </c>
      <c r="R53" s="78">
        <f>VLOOKUP(P53,'Probabilities &amp; Price Slide'!$H$20:$N$23,5, TRUE)</f>
        <v>-9.4798772739497356E-2</v>
      </c>
      <c r="S53" s="78">
        <f>VLOOKUP(P53,'Probabilities &amp; Price Slide'!$H$20:$N$23,6, TRUE)</f>
        <v>-4.7674964197479769E-2</v>
      </c>
      <c r="T53" s="78">
        <f>VLOOKUP(P53,'Probabilities &amp; Price Slide'!$H$20:$N$23,7, TRUE)</f>
        <v>-4.7674964197479769E-2</v>
      </c>
    </row>
    <row r="54" spans="16:20" x14ac:dyDescent="0.3">
      <c r="P54" s="43">
        <v>434</v>
      </c>
      <c r="Q54" s="78">
        <f>VLOOKUP(P54,'Probabilities &amp; Price Slide'!$H$20:$N$23,4, TRUE)</f>
        <v>-0.14247373693697712</v>
      </c>
      <c r="R54" s="78">
        <f>VLOOKUP(P54,'Probabilities &amp; Price Slide'!$H$20:$N$23,5, TRUE)</f>
        <v>-9.4798772739497356E-2</v>
      </c>
      <c r="S54" s="78">
        <f>VLOOKUP(P54,'Probabilities &amp; Price Slide'!$H$20:$N$23,6, TRUE)</f>
        <v>-4.7674964197479769E-2</v>
      </c>
      <c r="T54" s="78">
        <f>VLOOKUP(P54,'Probabilities &amp; Price Slide'!$H$20:$N$23,7, TRUE)</f>
        <v>-4.7674964197479769E-2</v>
      </c>
    </row>
    <row r="55" spans="16:20" x14ac:dyDescent="0.3">
      <c r="P55" s="43">
        <v>435</v>
      </c>
      <c r="Q55" s="78">
        <f>VLOOKUP(P55,'Probabilities &amp; Price Slide'!$H$20:$N$23,4, TRUE)</f>
        <v>-0.14247373693697712</v>
      </c>
      <c r="R55" s="78">
        <f>VLOOKUP(P55,'Probabilities &amp; Price Slide'!$H$20:$N$23,5, TRUE)</f>
        <v>-9.4798772739497356E-2</v>
      </c>
      <c r="S55" s="78">
        <f>VLOOKUP(P55,'Probabilities &amp; Price Slide'!$H$20:$N$23,6, TRUE)</f>
        <v>-4.7674964197479769E-2</v>
      </c>
      <c r="T55" s="78">
        <f>VLOOKUP(P55,'Probabilities &amp; Price Slide'!$H$20:$N$23,7, TRUE)</f>
        <v>-4.7674964197479769E-2</v>
      </c>
    </row>
    <row r="56" spans="16:20" x14ac:dyDescent="0.3">
      <c r="P56" s="43">
        <v>436</v>
      </c>
      <c r="Q56" s="78">
        <f>VLOOKUP(P56,'Probabilities &amp; Price Slide'!$H$20:$N$23,4, TRUE)</f>
        <v>-0.14247373693697712</v>
      </c>
      <c r="R56" s="78">
        <f>VLOOKUP(P56,'Probabilities &amp; Price Slide'!$H$20:$N$23,5, TRUE)</f>
        <v>-9.4798772739497356E-2</v>
      </c>
      <c r="S56" s="78">
        <f>VLOOKUP(P56,'Probabilities &amp; Price Slide'!$H$20:$N$23,6, TRUE)</f>
        <v>-4.7674964197479769E-2</v>
      </c>
      <c r="T56" s="78">
        <f>VLOOKUP(P56,'Probabilities &amp; Price Slide'!$H$20:$N$23,7, TRUE)</f>
        <v>-4.7674964197479769E-2</v>
      </c>
    </row>
    <row r="57" spans="16:20" x14ac:dyDescent="0.3">
      <c r="P57" s="43">
        <v>437</v>
      </c>
      <c r="Q57" s="78">
        <f>VLOOKUP(P57,'Probabilities &amp; Price Slide'!$H$20:$N$23,4, TRUE)</f>
        <v>-0.14247373693697712</v>
      </c>
      <c r="R57" s="78">
        <f>VLOOKUP(P57,'Probabilities &amp; Price Slide'!$H$20:$N$23,5, TRUE)</f>
        <v>-9.4798772739497356E-2</v>
      </c>
      <c r="S57" s="78">
        <f>VLOOKUP(P57,'Probabilities &amp; Price Slide'!$H$20:$N$23,6, TRUE)</f>
        <v>-4.7674964197479769E-2</v>
      </c>
      <c r="T57" s="78">
        <f>VLOOKUP(P57,'Probabilities &amp; Price Slide'!$H$20:$N$23,7, TRUE)</f>
        <v>-4.7674964197479769E-2</v>
      </c>
    </row>
    <row r="58" spans="16:20" x14ac:dyDescent="0.3">
      <c r="P58" s="43">
        <v>438</v>
      </c>
      <c r="Q58" s="78">
        <f>VLOOKUP(P58,'Probabilities &amp; Price Slide'!$H$20:$N$23,4, TRUE)</f>
        <v>-0.14247373693697712</v>
      </c>
      <c r="R58" s="78">
        <f>VLOOKUP(P58,'Probabilities &amp; Price Slide'!$H$20:$N$23,5, TRUE)</f>
        <v>-9.4798772739497356E-2</v>
      </c>
      <c r="S58" s="78">
        <f>VLOOKUP(P58,'Probabilities &amp; Price Slide'!$H$20:$N$23,6, TRUE)</f>
        <v>-4.7674964197479769E-2</v>
      </c>
      <c r="T58" s="78">
        <f>VLOOKUP(P58,'Probabilities &amp; Price Slide'!$H$20:$N$23,7, TRUE)</f>
        <v>-4.7674964197479769E-2</v>
      </c>
    </row>
    <row r="59" spans="16:20" x14ac:dyDescent="0.3">
      <c r="P59" s="43">
        <v>439</v>
      </c>
      <c r="Q59" s="78">
        <f>VLOOKUP(P59,'Probabilities &amp; Price Slide'!$H$20:$N$23,4, TRUE)</f>
        <v>-0.14247373693697712</v>
      </c>
      <c r="R59" s="78">
        <f>VLOOKUP(P59,'Probabilities &amp; Price Slide'!$H$20:$N$23,5, TRUE)</f>
        <v>-9.4798772739497356E-2</v>
      </c>
      <c r="S59" s="78">
        <f>VLOOKUP(P59,'Probabilities &amp; Price Slide'!$H$20:$N$23,6, TRUE)</f>
        <v>-4.7674964197479769E-2</v>
      </c>
      <c r="T59" s="78">
        <f>VLOOKUP(P59,'Probabilities &amp; Price Slide'!$H$20:$N$23,7, TRUE)</f>
        <v>-4.7674964197479769E-2</v>
      </c>
    </row>
    <row r="60" spans="16:20" x14ac:dyDescent="0.3">
      <c r="P60" s="43">
        <v>440</v>
      </c>
      <c r="Q60" s="78">
        <f>VLOOKUP(P60,'Probabilities &amp; Price Slide'!$H$20:$N$23,4, TRUE)</f>
        <v>-0.14247373693697712</v>
      </c>
      <c r="R60" s="78">
        <f>VLOOKUP(P60,'Probabilities &amp; Price Slide'!$H$20:$N$23,5, TRUE)</f>
        <v>-9.4798772739497356E-2</v>
      </c>
      <c r="S60" s="78">
        <f>VLOOKUP(P60,'Probabilities &amp; Price Slide'!$H$20:$N$23,6, TRUE)</f>
        <v>-4.7674964197479769E-2</v>
      </c>
      <c r="T60" s="78">
        <f>VLOOKUP(P60,'Probabilities &amp; Price Slide'!$H$20:$N$23,7, TRUE)</f>
        <v>-4.7674964197479769E-2</v>
      </c>
    </row>
    <row r="61" spans="16:20" x14ac:dyDescent="0.3">
      <c r="P61" s="43">
        <v>441</v>
      </c>
      <c r="Q61" s="78">
        <f>VLOOKUP(P61,'Probabilities &amp; Price Slide'!$H$20:$N$23,4, TRUE)</f>
        <v>-0.14247373693697712</v>
      </c>
      <c r="R61" s="78">
        <f>VLOOKUP(P61,'Probabilities &amp; Price Slide'!$H$20:$N$23,5, TRUE)</f>
        <v>-9.4798772739497356E-2</v>
      </c>
      <c r="S61" s="78">
        <f>VLOOKUP(P61,'Probabilities &amp; Price Slide'!$H$20:$N$23,6, TRUE)</f>
        <v>-4.7674964197479769E-2</v>
      </c>
      <c r="T61" s="78">
        <f>VLOOKUP(P61,'Probabilities &amp; Price Slide'!$H$20:$N$23,7, TRUE)</f>
        <v>-4.7674964197479769E-2</v>
      </c>
    </row>
    <row r="62" spans="16:20" x14ac:dyDescent="0.3">
      <c r="P62" s="43">
        <v>442</v>
      </c>
      <c r="Q62" s="78">
        <f>VLOOKUP(P62,'Probabilities &amp; Price Slide'!$H$20:$N$23,4, TRUE)</f>
        <v>-0.14247373693697712</v>
      </c>
      <c r="R62" s="78">
        <f>VLOOKUP(P62,'Probabilities &amp; Price Slide'!$H$20:$N$23,5, TRUE)</f>
        <v>-9.4798772739497356E-2</v>
      </c>
      <c r="S62" s="78">
        <f>VLOOKUP(P62,'Probabilities &amp; Price Slide'!$H$20:$N$23,6, TRUE)</f>
        <v>-4.7674964197479769E-2</v>
      </c>
      <c r="T62" s="78">
        <f>VLOOKUP(P62,'Probabilities &amp; Price Slide'!$H$20:$N$23,7, TRUE)</f>
        <v>-4.7674964197479769E-2</v>
      </c>
    </row>
    <row r="63" spans="16:20" x14ac:dyDescent="0.3">
      <c r="P63" s="43">
        <v>443</v>
      </c>
      <c r="Q63" s="78">
        <f>VLOOKUP(P63,'Probabilities &amp; Price Slide'!$H$20:$N$23,4, TRUE)</f>
        <v>-0.14247373693697712</v>
      </c>
      <c r="R63" s="78">
        <f>VLOOKUP(P63,'Probabilities &amp; Price Slide'!$H$20:$N$23,5, TRUE)</f>
        <v>-9.4798772739497356E-2</v>
      </c>
      <c r="S63" s="78">
        <f>VLOOKUP(P63,'Probabilities &amp; Price Slide'!$H$20:$N$23,6, TRUE)</f>
        <v>-4.7674964197479769E-2</v>
      </c>
      <c r="T63" s="78">
        <f>VLOOKUP(P63,'Probabilities &amp; Price Slide'!$H$20:$N$23,7, TRUE)</f>
        <v>-4.7674964197479769E-2</v>
      </c>
    </row>
    <row r="64" spans="16:20" x14ac:dyDescent="0.3">
      <c r="P64" s="43">
        <v>444</v>
      </c>
      <c r="Q64" s="78">
        <f>VLOOKUP(P64,'Probabilities &amp; Price Slide'!$H$20:$N$23,4, TRUE)</f>
        <v>-0.14247373693697712</v>
      </c>
      <c r="R64" s="78">
        <f>VLOOKUP(P64,'Probabilities &amp; Price Slide'!$H$20:$N$23,5, TRUE)</f>
        <v>-9.4798772739497356E-2</v>
      </c>
      <c r="S64" s="78">
        <f>VLOOKUP(P64,'Probabilities &amp; Price Slide'!$H$20:$N$23,6, TRUE)</f>
        <v>-4.7674964197479769E-2</v>
      </c>
      <c r="T64" s="78">
        <f>VLOOKUP(P64,'Probabilities &amp; Price Slide'!$H$20:$N$23,7, TRUE)</f>
        <v>-4.7674964197479769E-2</v>
      </c>
    </row>
    <row r="65" spans="16:20" x14ac:dyDescent="0.3">
      <c r="P65" s="43">
        <v>445</v>
      </c>
      <c r="Q65" s="78">
        <f>VLOOKUP(P65,'Probabilities &amp; Price Slide'!$H$20:$N$23,4, TRUE)</f>
        <v>-0.14247373693697712</v>
      </c>
      <c r="R65" s="78">
        <f>VLOOKUP(P65,'Probabilities &amp; Price Slide'!$H$20:$N$23,5, TRUE)</f>
        <v>-9.4798772739497356E-2</v>
      </c>
      <c r="S65" s="78">
        <f>VLOOKUP(P65,'Probabilities &amp; Price Slide'!$H$20:$N$23,6, TRUE)</f>
        <v>-4.7674964197479769E-2</v>
      </c>
      <c r="T65" s="78">
        <f>VLOOKUP(P65,'Probabilities &amp; Price Slide'!$H$20:$N$23,7, TRUE)</f>
        <v>-4.7674964197479769E-2</v>
      </c>
    </row>
    <row r="66" spans="16:20" x14ac:dyDescent="0.3">
      <c r="P66" s="43">
        <v>446</v>
      </c>
      <c r="Q66" s="78">
        <f>VLOOKUP(P66,'Probabilities &amp; Price Slide'!$H$20:$N$23,4, TRUE)</f>
        <v>-0.14247373693697712</v>
      </c>
      <c r="R66" s="78">
        <f>VLOOKUP(P66,'Probabilities &amp; Price Slide'!$H$20:$N$23,5, TRUE)</f>
        <v>-9.4798772739497356E-2</v>
      </c>
      <c r="S66" s="78">
        <f>VLOOKUP(P66,'Probabilities &amp; Price Slide'!$H$20:$N$23,6, TRUE)</f>
        <v>-4.7674964197479769E-2</v>
      </c>
      <c r="T66" s="78">
        <f>VLOOKUP(P66,'Probabilities &amp; Price Slide'!$H$20:$N$23,7, TRUE)</f>
        <v>-4.7674964197479769E-2</v>
      </c>
    </row>
    <row r="67" spans="16:20" x14ac:dyDescent="0.3">
      <c r="P67" s="43">
        <v>447</v>
      </c>
      <c r="Q67" s="78">
        <f>VLOOKUP(P67,'Probabilities &amp; Price Slide'!$H$20:$N$23,4, TRUE)</f>
        <v>-0.14247373693697712</v>
      </c>
      <c r="R67" s="78">
        <f>VLOOKUP(P67,'Probabilities &amp; Price Slide'!$H$20:$N$23,5, TRUE)</f>
        <v>-9.4798772739497356E-2</v>
      </c>
      <c r="S67" s="78">
        <f>VLOOKUP(P67,'Probabilities &amp; Price Slide'!$H$20:$N$23,6, TRUE)</f>
        <v>-4.7674964197479769E-2</v>
      </c>
      <c r="T67" s="78">
        <f>VLOOKUP(P67,'Probabilities &amp; Price Slide'!$H$20:$N$23,7, TRUE)</f>
        <v>-4.7674964197479769E-2</v>
      </c>
    </row>
    <row r="68" spans="16:20" x14ac:dyDescent="0.3">
      <c r="P68" s="43">
        <v>448</v>
      </c>
      <c r="Q68" s="78">
        <f>VLOOKUP(P68,'Probabilities &amp; Price Slide'!$H$20:$N$23,4, TRUE)</f>
        <v>-0.14247373693697712</v>
      </c>
      <c r="R68" s="78">
        <f>VLOOKUP(P68,'Probabilities &amp; Price Slide'!$H$20:$N$23,5, TRUE)</f>
        <v>-9.4798772739497356E-2</v>
      </c>
      <c r="S68" s="78">
        <f>VLOOKUP(P68,'Probabilities &amp; Price Slide'!$H$20:$N$23,6, TRUE)</f>
        <v>-4.7674964197479769E-2</v>
      </c>
      <c r="T68" s="78">
        <f>VLOOKUP(P68,'Probabilities &amp; Price Slide'!$H$20:$N$23,7, TRUE)</f>
        <v>-4.7674964197479769E-2</v>
      </c>
    </row>
    <row r="69" spans="16:20" x14ac:dyDescent="0.3">
      <c r="P69" s="43">
        <v>449</v>
      </c>
      <c r="Q69" s="78">
        <f>VLOOKUP(P69,'Probabilities &amp; Price Slide'!$H$20:$N$23,4, TRUE)</f>
        <v>-0.14247373693697712</v>
      </c>
      <c r="R69" s="78">
        <f>VLOOKUP(P69,'Probabilities &amp; Price Slide'!$H$20:$N$23,5, TRUE)</f>
        <v>-9.4798772739497356E-2</v>
      </c>
      <c r="S69" s="78">
        <f>VLOOKUP(P69,'Probabilities &amp; Price Slide'!$H$20:$N$23,6, TRUE)</f>
        <v>-4.7674964197479769E-2</v>
      </c>
      <c r="T69" s="78">
        <f>VLOOKUP(P69,'Probabilities &amp; Price Slide'!$H$20:$N$23,7, TRUE)</f>
        <v>-4.7674964197479769E-2</v>
      </c>
    </row>
    <row r="70" spans="16:20" x14ac:dyDescent="0.3">
      <c r="P70" s="43">
        <v>450</v>
      </c>
      <c r="Q70" s="78">
        <f>VLOOKUP(P70,'Probabilities &amp; Price Slide'!$H$20:$N$23,4, TRUE)</f>
        <v>-0.14247373693697712</v>
      </c>
      <c r="R70" s="78">
        <f>VLOOKUP(P70,'Probabilities &amp; Price Slide'!$H$20:$N$23,5, TRUE)</f>
        <v>-9.4798772739497356E-2</v>
      </c>
      <c r="S70" s="78">
        <f>VLOOKUP(P70,'Probabilities &amp; Price Slide'!$H$20:$N$23,6, TRUE)</f>
        <v>-4.7674964197479769E-2</v>
      </c>
      <c r="T70" s="78">
        <f>VLOOKUP(P70,'Probabilities &amp; Price Slide'!$H$20:$N$23,7, TRUE)</f>
        <v>-4.7674964197479769E-2</v>
      </c>
    </row>
    <row r="71" spans="16:20" x14ac:dyDescent="0.3">
      <c r="P71" s="43">
        <v>451</v>
      </c>
      <c r="Q71" s="78">
        <f>VLOOKUP(P71,'Probabilities &amp; Price Slide'!$H$20:$N$23,4, TRUE)</f>
        <v>-0.14247373693697712</v>
      </c>
      <c r="R71" s="78">
        <f>VLOOKUP(P71,'Probabilities &amp; Price Slide'!$H$20:$N$23,5, TRUE)</f>
        <v>-9.4798772739497356E-2</v>
      </c>
      <c r="S71" s="78">
        <f>VLOOKUP(P71,'Probabilities &amp; Price Slide'!$H$20:$N$23,6, TRUE)</f>
        <v>-4.7674964197479769E-2</v>
      </c>
      <c r="T71" s="78">
        <f>VLOOKUP(P71,'Probabilities &amp; Price Slide'!$H$20:$N$23,7, TRUE)</f>
        <v>-4.7674964197479769E-2</v>
      </c>
    </row>
    <row r="72" spans="16:20" x14ac:dyDescent="0.3">
      <c r="P72" s="43">
        <v>452</v>
      </c>
      <c r="Q72" s="78">
        <f>VLOOKUP(P72,'Probabilities &amp; Price Slide'!$H$20:$N$23,4, TRUE)</f>
        <v>-0.14247373693697712</v>
      </c>
      <c r="R72" s="78">
        <f>VLOOKUP(P72,'Probabilities &amp; Price Slide'!$H$20:$N$23,5, TRUE)</f>
        <v>-9.4798772739497356E-2</v>
      </c>
      <c r="S72" s="78">
        <f>VLOOKUP(P72,'Probabilities &amp; Price Slide'!$H$20:$N$23,6, TRUE)</f>
        <v>-4.7674964197479769E-2</v>
      </c>
      <c r="T72" s="78">
        <f>VLOOKUP(P72,'Probabilities &amp; Price Slide'!$H$20:$N$23,7, TRUE)</f>
        <v>-4.7674964197479769E-2</v>
      </c>
    </row>
    <row r="73" spans="16:20" x14ac:dyDescent="0.3">
      <c r="P73" s="43">
        <v>453</v>
      </c>
      <c r="Q73" s="78">
        <f>VLOOKUP(P73,'Probabilities &amp; Price Slide'!$H$20:$N$23,4, TRUE)</f>
        <v>-0.14247373693697712</v>
      </c>
      <c r="R73" s="78">
        <f>VLOOKUP(P73,'Probabilities &amp; Price Slide'!$H$20:$N$23,5, TRUE)</f>
        <v>-9.4798772739497356E-2</v>
      </c>
      <c r="S73" s="78">
        <f>VLOOKUP(P73,'Probabilities &amp; Price Slide'!$H$20:$N$23,6, TRUE)</f>
        <v>-4.7674964197479769E-2</v>
      </c>
      <c r="T73" s="78">
        <f>VLOOKUP(P73,'Probabilities &amp; Price Slide'!$H$20:$N$23,7, TRUE)</f>
        <v>-4.7674964197479769E-2</v>
      </c>
    </row>
    <row r="74" spans="16:20" x14ac:dyDescent="0.3">
      <c r="P74" s="43">
        <v>454</v>
      </c>
      <c r="Q74" s="78">
        <f>VLOOKUP(P74,'Probabilities &amp; Price Slide'!$H$20:$N$23,4, TRUE)</f>
        <v>-0.14247373693697712</v>
      </c>
      <c r="R74" s="78">
        <f>VLOOKUP(P74,'Probabilities &amp; Price Slide'!$H$20:$N$23,5, TRUE)</f>
        <v>-9.4798772739497356E-2</v>
      </c>
      <c r="S74" s="78">
        <f>VLOOKUP(P74,'Probabilities &amp; Price Slide'!$H$20:$N$23,6, TRUE)</f>
        <v>-4.7674964197479769E-2</v>
      </c>
      <c r="T74" s="78">
        <f>VLOOKUP(P74,'Probabilities &amp; Price Slide'!$H$20:$N$23,7, TRUE)</f>
        <v>-4.7674964197479769E-2</v>
      </c>
    </row>
    <row r="75" spans="16:20" x14ac:dyDescent="0.3">
      <c r="P75" s="43">
        <v>455</v>
      </c>
      <c r="Q75" s="78">
        <f>VLOOKUP(P75,'Probabilities &amp; Price Slide'!$H$20:$N$23,4, TRUE)</f>
        <v>-0.14247373693697712</v>
      </c>
      <c r="R75" s="78">
        <f>VLOOKUP(P75,'Probabilities &amp; Price Slide'!$H$20:$N$23,5, TRUE)</f>
        <v>-9.4798772739497356E-2</v>
      </c>
      <c r="S75" s="78">
        <f>VLOOKUP(P75,'Probabilities &amp; Price Slide'!$H$20:$N$23,6, TRUE)</f>
        <v>-4.7674964197479769E-2</v>
      </c>
      <c r="T75" s="78">
        <f>VLOOKUP(P75,'Probabilities &amp; Price Slide'!$H$20:$N$23,7, TRUE)</f>
        <v>-4.7674964197479769E-2</v>
      </c>
    </row>
    <row r="76" spans="16:20" x14ac:dyDescent="0.3">
      <c r="P76" s="43">
        <v>456</v>
      </c>
      <c r="Q76" s="78">
        <f>VLOOKUP(P76,'Probabilities &amp; Price Slide'!$H$20:$N$23,4, TRUE)</f>
        <v>-0.14247373693697712</v>
      </c>
      <c r="R76" s="78">
        <f>VLOOKUP(P76,'Probabilities &amp; Price Slide'!$H$20:$N$23,5, TRUE)</f>
        <v>-9.4798772739497356E-2</v>
      </c>
      <c r="S76" s="78">
        <f>VLOOKUP(P76,'Probabilities &amp; Price Slide'!$H$20:$N$23,6, TRUE)</f>
        <v>-4.7674964197479769E-2</v>
      </c>
      <c r="T76" s="78">
        <f>VLOOKUP(P76,'Probabilities &amp; Price Slide'!$H$20:$N$23,7, TRUE)</f>
        <v>-4.7674964197479769E-2</v>
      </c>
    </row>
    <row r="77" spans="16:20" x14ac:dyDescent="0.3">
      <c r="P77" s="43">
        <v>457</v>
      </c>
      <c r="Q77" s="78">
        <f>VLOOKUP(P77,'Probabilities &amp; Price Slide'!$H$20:$N$23,4, TRUE)</f>
        <v>-0.14247373693697712</v>
      </c>
      <c r="R77" s="78">
        <f>VLOOKUP(P77,'Probabilities &amp; Price Slide'!$H$20:$N$23,5, TRUE)</f>
        <v>-9.4798772739497356E-2</v>
      </c>
      <c r="S77" s="78">
        <f>VLOOKUP(P77,'Probabilities &amp; Price Slide'!$H$20:$N$23,6, TRUE)</f>
        <v>-4.7674964197479769E-2</v>
      </c>
      <c r="T77" s="78">
        <f>VLOOKUP(P77,'Probabilities &amp; Price Slide'!$H$20:$N$23,7, TRUE)</f>
        <v>-4.7674964197479769E-2</v>
      </c>
    </row>
    <row r="78" spans="16:20" x14ac:dyDescent="0.3">
      <c r="P78" s="43">
        <v>458</v>
      </c>
      <c r="Q78" s="78">
        <f>VLOOKUP(P78,'Probabilities &amp; Price Slide'!$H$20:$N$23,4, TRUE)</f>
        <v>-0.14247373693697712</v>
      </c>
      <c r="R78" s="78">
        <f>VLOOKUP(P78,'Probabilities &amp; Price Slide'!$H$20:$N$23,5, TRUE)</f>
        <v>-9.4798772739497356E-2</v>
      </c>
      <c r="S78" s="78">
        <f>VLOOKUP(P78,'Probabilities &amp; Price Slide'!$H$20:$N$23,6, TRUE)</f>
        <v>-4.7674964197479769E-2</v>
      </c>
      <c r="T78" s="78">
        <f>VLOOKUP(P78,'Probabilities &amp; Price Slide'!$H$20:$N$23,7, TRUE)</f>
        <v>-4.7674964197479769E-2</v>
      </c>
    </row>
    <row r="79" spans="16:20" x14ac:dyDescent="0.3">
      <c r="P79" s="43">
        <v>459</v>
      </c>
      <c r="Q79" s="78">
        <f>VLOOKUP(P79,'Probabilities &amp; Price Slide'!$H$20:$N$23,4, TRUE)</f>
        <v>-0.14247373693697712</v>
      </c>
      <c r="R79" s="78">
        <f>VLOOKUP(P79,'Probabilities &amp; Price Slide'!$H$20:$N$23,5, TRUE)</f>
        <v>-9.4798772739497356E-2</v>
      </c>
      <c r="S79" s="78">
        <f>VLOOKUP(P79,'Probabilities &amp; Price Slide'!$H$20:$N$23,6, TRUE)</f>
        <v>-4.7674964197479769E-2</v>
      </c>
      <c r="T79" s="78">
        <f>VLOOKUP(P79,'Probabilities &amp; Price Slide'!$H$20:$N$23,7, TRUE)</f>
        <v>-4.7674964197479769E-2</v>
      </c>
    </row>
    <row r="80" spans="16:20" x14ac:dyDescent="0.3">
      <c r="P80" s="43">
        <v>460</v>
      </c>
      <c r="Q80" s="78">
        <f>VLOOKUP(P80,'Probabilities &amp; Price Slide'!$H$20:$N$23,4, TRUE)</f>
        <v>-0.14247373693697712</v>
      </c>
      <c r="R80" s="78">
        <f>VLOOKUP(P80,'Probabilities &amp; Price Slide'!$H$20:$N$23,5, TRUE)</f>
        <v>-9.4798772739497356E-2</v>
      </c>
      <c r="S80" s="78">
        <f>VLOOKUP(P80,'Probabilities &amp; Price Slide'!$H$20:$N$23,6, TRUE)</f>
        <v>-4.7674964197479769E-2</v>
      </c>
      <c r="T80" s="78">
        <f>VLOOKUP(P80,'Probabilities &amp; Price Slide'!$H$20:$N$23,7, TRUE)</f>
        <v>-4.7674964197479769E-2</v>
      </c>
    </row>
    <row r="81" spans="16:20" x14ac:dyDescent="0.3">
      <c r="P81" s="43">
        <v>461</v>
      </c>
      <c r="Q81" s="78">
        <f>VLOOKUP(P81,'Probabilities &amp; Price Slide'!$H$20:$N$23,4, TRUE)</f>
        <v>-0.14247373693697712</v>
      </c>
      <c r="R81" s="78">
        <f>VLOOKUP(P81,'Probabilities &amp; Price Slide'!$H$20:$N$23,5, TRUE)</f>
        <v>-9.4798772739497356E-2</v>
      </c>
      <c r="S81" s="78">
        <f>VLOOKUP(P81,'Probabilities &amp; Price Slide'!$H$20:$N$23,6, TRUE)</f>
        <v>-4.7674964197479769E-2</v>
      </c>
      <c r="T81" s="78">
        <f>VLOOKUP(P81,'Probabilities &amp; Price Slide'!$H$20:$N$23,7, TRUE)</f>
        <v>-4.7674964197479769E-2</v>
      </c>
    </row>
    <row r="82" spans="16:20" x14ac:dyDescent="0.3">
      <c r="P82" s="43">
        <v>462</v>
      </c>
      <c r="Q82" s="78">
        <f>VLOOKUP(P82,'Probabilities &amp; Price Slide'!$H$20:$N$23,4, TRUE)</f>
        <v>-0.14247373693697712</v>
      </c>
      <c r="R82" s="78">
        <f>VLOOKUP(P82,'Probabilities &amp; Price Slide'!$H$20:$N$23,5, TRUE)</f>
        <v>-9.4798772739497356E-2</v>
      </c>
      <c r="S82" s="78">
        <f>VLOOKUP(P82,'Probabilities &amp; Price Slide'!$H$20:$N$23,6, TRUE)</f>
        <v>-4.7674964197479769E-2</v>
      </c>
      <c r="T82" s="78">
        <f>VLOOKUP(P82,'Probabilities &amp; Price Slide'!$H$20:$N$23,7, TRUE)</f>
        <v>-4.7674964197479769E-2</v>
      </c>
    </row>
    <row r="83" spans="16:20" x14ac:dyDescent="0.3">
      <c r="P83" s="43">
        <v>463</v>
      </c>
      <c r="Q83" s="78">
        <f>VLOOKUP(P83,'Probabilities &amp; Price Slide'!$H$20:$N$23,4, TRUE)</f>
        <v>-0.14247373693697712</v>
      </c>
      <c r="R83" s="78">
        <f>VLOOKUP(P83,'Probabilities &amp; Price Slide'!$H$20:$N$23,5, TRUE)</f>
        <v>-9.4798772739497356E-2</v>
      </c>
      <c r="S83" s="78">
        <f>VLOOKUP(P83,'Probabilities &amp; Price Slide'!$H$20:$N$23,6, TRUE)</f>
        <v>-4.7674964197479769E-2</v>
      </c>
      <c r="T83" s="78">
        <f>VLOOKUP(P83,'Probabilities &amp; Price Slide'!$H$20:$N$23,7, TRUE)</f>
        <v>-4.7674964197479769E-2</v>
      </c>
    </row>
    <row r="84" spans="16:20" x14ac:dyDescent="0.3">
      <c r="P84" s="43">
        <v>464</v>
      </c>
      <c r="Q84" s="78">
        <f>VLOOKUP(P84,'Probabilities &amp; Price Slide'!$H$20:$N$23,4, TRUE)</f>
        <v>-0.14247373693697712</v>
      </c>
      <c r="R84" s="78">
        <f>VLOOKUP(P84,'Probabilities &amp; Price Slide'!$H$20:$N$23,5, TRUE)</f>
        <v>-9.4798772739497356E-2</v>
      </c>
      <c r="S84" s="78">
        <f>VLOOKUP(P84,'Probabilities &amp; Price Slide'!$H$20:$N$23,6, TRUE)</f>
        <v>-4.7674964197479769E-2</v>
      </c>
      <c r="T84" s="78">
        <f>VLOOKUP(P84,'Probabilities &amp; Price Slide'!$H$20:$N$23,7, TRUE)</f>
        <v>-4.7674964197479769E-2</v>
      </c>
    </row>
    <row r="85" spans="16:20" x14ac:dyDescent="0.3">
      <c r="P85" s="43">
        <v>465</v>
      </c>
      <c r="Q85" s="78">
        <f>VLOOKUP(P85,'Probabilities &amp; Price Slide'!$H$20:$N$23,4, TRUE)</f>
        <v>-0.14247373693697712</v>
      </c>
      <c r="R85" s="78">
        <f>VLOOKUP(P85,'Probabilities &amp; Price Slide'!$H$20:$N$23,5, TRUE)</f>
        <v>-9.4798772739497356E-2</v>
      </c>
      <c r="S85" s="78">
        <f>VLOOKUP(P85,'Probabilities &amp; Price Slide'!$H$20:$N$23,6, TRUE)</f>
        <v>-4.7674964197479769E-2</v>
      </c>
      <c r="T85" s="78">
        <f>VLOOKUP(P85,'Probabilities &amp; Price Slide'!$H$20:$N$23,7, TRUE)</f>
        <v>-4.7674964197479769E-2</v>
      </c>
    </row>
    <row r="86" spans="16:20" x14ac:dyDescent="0.3">
      <c r="P86" s="43">
        <v>466</v>
      </c>
      <c r="Q86" s="78">
        <f>VLOOKUP(P86,'Probabilities &amp; Price Slide'!$H$20:$N$23,4, TRUE)</f>
        <v>-0.14247373693697712</v>
      </c>
      <c r="R86" s="78">
        <f>VLOOKUP(P86,'Probabilities &amp; Price Slide'!$H$20:$N$23,5, TRUE)</f>
        <v>-9.4798772739497356E-2</v>
      </c>
      <c r="S86" s="78">
        <f>VLOOKUP(P86,'Probabilities &amp; Price Slide'!$H$20:$N$23,6, TRUE)</f>
        <v>-4.7674964197479769E-2</v>
      </c>
      <c r="T86" s="78">
        <f>VLOOKUP(P86,'Probabilities &amp; Price Slide'!$H$20:$N$23,7, TRUE)</f>
        <v>-4.7674964197479769E-2</v>
      </c>
    </row>
    <row r="87" spans="16:20" x14ac:dyDescent="0.3">
      <c r="P87" s="43">
        <v>467</v>
      </c>
      <c r="Q87" s="78">
        <f>VLOOKUP(P87,'Probabilities &amp; Price Slide'!$H$20:$N$23,4, TRUE)</f>
        <v>-0.14247373693697712</v>
      </c>
      <c r="R87" s="78">
        <f>VLOOKUP(P87,'Probabilities &amp; Price Slide'!$H$20:$N$23,5, TRUE)</f>
        <v>-9.4798772739497356E-2</v>
      </c>
      <c r="S87" s="78">
        <f>VLOOKUP(P87,'Probabilities &amp; Price Slide'!$H$20:$N$23,6, TRUE)</f>
        <v>-4.7674964197479769E-2</v>
      </c>
      <c r="T87" s="78">
        <f>VLOOKUP(P87,'Probabilities &amp; Price Slide'!$H$20:$N$23,7, TRUE)</f>
        <v>-4.7674964197479769E-2</v>
      </c>
    </row>
    <row r="88" spans="16:20" x14ac:dyDescent="0.3">
      <c r="P88" s="43">
        <v>468</v>
      </c>
      <c r="Q88" s="78">
        <f>VLOOKUP(P88,'Probabilities &amp; Price Slide'!$H$20:$N$23,4, TRUE)</f>
        <v>-0.14247373693697712</v>
      </c>
      <c r="R88" s="78">
        <f>VLOOKUP(P88,'Probabilities &amp; Price Slide'!$H$20:$N$23,5, TRUE)</f>
        <v>-9.4798772739497356E-2</v>
      </c>
      <c r="S88" s="78">
        <f>VLOOKUP(P88,'Probabilities &amp; Price Slide'!$H$20:$N$23,6, TRUE)</f>
        <v>-4.7674964197479769E-2</v>
      </c>
      <c r="T88" s="78">
        <f>VLOOKUP(P88,'Probabilities &amp; Price Slide'!$H$20:$N$23,7, TRUE)</f>
        <v>-4.7674964197479769E-2</v>
      </c>
    </row>
    <row r="89" spans="16:20" x14ac:dyDescent="0.3">
      <c r="P89" s="43">
        <v>469</v>
      </c>
      <c r="Q89" s="78">
        <f>VLOOKUP(P89,'Probabilities &amp; Price Slide'!$H$20:$N$23,4, TRUE)</f>
        <v>-0.14247373693697712</v>
      </c>
      <c r="R89" s="78">
        <f>VLOOKUP(P89,'Probabilities &amp; Price Slide'!$H$20:$N$23,5, TRUE)</f>
        <v>-9.4798772739497356E-2</v>
      </c>
      <c r="S89" s="78">
        <f>VLOOKUP(P89,'Probabilities &amp; Price Slide'!$H$20:$N$23,6, TRUE)</f>
        <v>-4.7674964197479769E-2</v>
      </c>
      <c r="T89" s="78">
        <f>VLOOKUP(P89,'Probabilities &amp; Price Slide'!$H$20:$N$23,7, TRUE)</f>
        <v>-4.7674964197479769E-2</v>
      </c>
    </row>
    <row r="90" spans="16:20" x14ac:dyDescent="0.3">
      <c r="P90" s="43">
        <v>470</v>
      </c>
      <c r="Q90" s="78">
        <f>VLOOKUP(P90,'Probabilities &amp; Price Slide'!$H$20:$N$23,4, TRUE)</f>
        <v>-0.14247373693697712</v>
      </c>
      <c r="R90" s="78">
        <f>VLOOKUP(P90,'Probabilities &amp; Price Slide'!$H$20:$N$23,5, TRUE)</f>
        <v>-9.4798772739497356E-2</v>
      </c>
      <c r="S90" s="78">
        <f>VLOOKUP(P90,'Probabilities &amp; Price Slide'!$H$20:$N$23,6, TRUE)</f>
        <v>-4.7674964197479769E-2</v>
      </c>
      <c r="T90" s="78">
        <f>VLOOKUP(P90,'Probabilities &amp; Price Slide'!$H$20:$N$23,7, TRUE)</f>
        <v>-4.7674964197479769E-2</v>
      </c>
    </row>
    <row r="91" spans="16:20" x14ac:dyDescent="0.3">
      <c r="P91" s="43">
        <v>471</v>
      </c>
      <c r="Q91" s="78">
        <f>VLOOKUP(P91,'Probabilities &amp; Price Slide'!$H$20:$N$23,4, TRUE)</f>
        <v>-0.14247373693697712</v>
      </c>
      <c r="R91" s="78">
        <f>VLOOKUP(P91,'Probabilities &amp; Price Slide'!$H$20:$N$23,5, TRUE)</f>
        <v>-9.4798772739497356E-2</v>
      </c>
      <c r="S91" s="78">
        <f>VLOOKUP(P91,'Probabilities &amp; Price Slide'!$H$20:$N$23,6, TRUE)</f>
        <v>-4.7674964197479769E-2</v>
      </c>
      <c r="T91" s="78">
        <f>VLOOKUP(P91,'Probabilities &amp; Price Slide'!$H$20:$N$23,7, TRUE)</f>
        <v>-4.7674964197479769E-2</v>
      </c>
    </row>
    <row r="92" spans="16:20" x14ac:dyDescent="0.3">
      <c r="P92" s="43">
        <v>472</v>
      </c>
      <c r="Q92" s="78">
        <f>VLOOKUP(P92,'Probabilities &amp; Price Slide'!$H$20:$N$23,4, TRUE)</f>
        <v>-0.14247373693697712</v>
      </c>
      <c r="R92" s="78">
        <f>VLOOKUP(P92,'Probabilities &amp; Price Slide'!$H$20:$N$23,5, TRUE)</f>
        <v>-9.4798772739497356E-2</v>
      </c>
      <c r="S92" s="78">
        <f>VLOOKUP(P92,'Probabilities &amp; Price Slide'!$H$20:$N$23,6, TRUE)</f>
        <v>-4.7674964197479769E-2</v>
      </c>
      <c r="T92" s="78">
        <f>VLOOKUP(P92,'Probabilities &amp; Price Slide'!$H$20:$N$23,7, TRUE)</f>
        <v>-4.7674964197479769E-2</v>
      </c>
    </row>
    <row r="93" spans="16:20" x14ac:dyDescent="0.3">
      <c r="P93" s="43">
        <v>473</v>
      </c>
      <c r="Q93" s="78">
        <f>VLOOKUP(P93,'Probabilities &amp; Price Slide'!$H$20:$N$23,4, TRUE)</f>
        <v>-0.14247373693697712</v>
      </c>
      <c r="R93" s="78">
        <f>VLOOKUP(P93,'Probabilities &amp; Price Slide'!$H$20:$N$23,5, TRUE)</f>
        <v>-9.4798772739497356E-2</v>
      </c>
      <c r="S93" s="78">
        <f>VLOOKUP(P93,'Probabilities &amp; Price Slide'!$H$20:$N$23,6, TRUE)</f>
        <v>-4.7674964197479769E-2</v>
      </c>
      <c r="T93" s="78">
        <f>VLOOKUP(P93,'Probabilities &amp; Price Slide'!$H$20:$N$23,7, TRUE)</f>
        <v>-4.7674964197479769E-2</v>
      </c>
    </row>
    <row r="94" spans="16:20" x14ac:dyDescent="0.3">
      <c r="P94" s="43">
        <v>474</v>
      </c>
      <c r="Q94" s="78">
        <f>VLOOKUP(P94,'Probabilities &amp; Price Slide'!$H$20:$N$23,4, TRUE)</f>
        <v>-0.14247373693697712</v>
      </c>
      <c r="R94" s="78">
        <f>VLOOKUP(P94,'Probabilities &amp; Price Slide'!$H$20:$N$23,5, TRUE)</f>
        <v>-9.4798772739497356E-2</v>
      </c>
      <c r="S94" s="78">
        <f>VLOOKUP(P94,'Probabilities &amp; Price Slide'!$H$20:$N$23,6, TRUE)</f>
        <v>-4.7674964197479769E-2</v>
      </c>
      <c r="T94" s="78">
        <f>VLOOKUP(P94,'Probabilities &amp; Price Slide'!$H$20:$N$23,7, TRUE)</f>
        <v>-4.7674964197479769E-2</v>
      </c>
    </row>
    <row r="95" spans="16:20" x14ac:dyDescent="0.3">
      <c r="P95" s="43">
        <v>475</v>
      </c>
      <c r="Q95" s="78">
        <f>VLOOKUP(P95,'Probabilities &amp; Price Slide'!$H$20:$N$23,4, TRUE)</f>
        <v>-0.14247373693697712</v>
      </c>
      <c r="R95" s="78">
        <f>VLOOKUP(P95,'Probabilities &amp; Price Slide'!$H$20:$N$23,5, TRUE)</f>
        <v>-9.4798772739497356E-2</v>
      </c>
      <c r="S95" s="78">
        <f>VLOOKUP(P95,'Probabilities &amp; Price Slide'!$H$20:$N$23,6, TRUE)</f>
        <v>-4.7674964197479769E-2</v>
      </c>
      <c r="T95" s="78">
        <f>VLOOKUP(P95,'Probabilities &amp; Price Slide'!$H$20:$N$23,7, TRUE)</f>
        <v>-4.7674964197479769E-2</v>
      </c>
    </row>
    <row r="96" spans="16:20" x14ac:dyDescent="0.3">
      <c r="P96" s="43">
        <v>476</v>
      </c>
      <c r="Q96" s="78">
        <f>VLOOKUP(P96,'Probabilities &amp; Price Slide'!$H$20:$N$23,4, TRUE)</f>
        <v>-0.14247373693697712</v>
      </c>
      <c r="R96" s="78">
        <f>VLOOKUP(P96,'Probabilities &amp; Price Slide'!$H$20:$N$23,5, TRUE)</f>
        <v>-9.4798772739497356E-2</v>
      </c>
      <c r="S96" s="78">
        <f>VLOOKUP(P96,'Probabilities &amp; Price Slide'!$H$20:$N$23,6, TRUE)</f>
        <v>-4.7674964197479769E-2</v>
      </c>
      <c r="T96" s="78">
        <f>VLOOKUP(P96,'Probabilities &amp; Price Slide'!$H$20:$N$23,7, TRUE)</f>
        <v>-4.7674964197479769E-2</v>
      </c>
    </row>
    <row r="97" spans="16:20" x14ac:dyDescent="0.3">
      <c r="P97" s="43">
        <v>477</v>
      </c>
      <c r="Q97" s="78">
        <f>VLOOKUP(P97,'Probabilities &amp; Price Slide'!$H$20:$N$23,4, TRUE)</f>
        <v>-0.14247373693697712</v>
      </c>
      <c r="R97" s="78">
        <f>VLOOKUP(P97,'Probabilities &amp; Price Slide'!$H$20:$N$23,5, TRUE)</f>
        <v>-9.4798772739497356E-2</v>
      </c>
      <c r="S97" s="78">
        <f>VLOOKUP(P97,'Probabilities &amp; Price Slide'!$H$20:$N$23,6, TRUE)</f>
        <v>-4.7674964197479769E-2</v>
      </c>
      <c r="T97" s="78">
        <f>VLOOKUP(P97,'Probabilities &amp; Price Slide'!$H$20:$N$23,7, TRUE)</f>
        <v>-4.7674964197479769E-2</v>
      </c>
    </row>
    <row r="98" spans="16:20" x14ac:dyDescent="0.3">
      <c r="P98" s="43">
        <v>478</v>
      </c>
      <c r="Q98" s="78">
        <f>VLOOKUP(P98,'Probabilities &amp; Price Slide'!$H$20:$N$23,4, TRUE)</f>
        <v>-0.14247373693697712</v>
      </c>
      <c r="R98" s="78">
        <f>VLOOKUP(P98,'Probabilities &amp; Price Slide'!$H$20:$N$23,5, TRUE)</f>
        <v>-9.4798772739497356E-2</v>
      </c>
      <c r="S98" s="78">
        <f>VLOOKUP(P98,'Probabilities &amp; Price Slide'!$H$20:$N$23,6, TRUE)</f>
        <v>-4.7674964197479769E-2</v>
      </c>
      <c r="T98" s="78">
        <f>VLOOKUP(P98,'Probabilities &amp; Price Slide'!$H$20:$N$23,7, TRUE)</f>
        <v>-4.7674964197479769E-2</v>
      </c>
    </row>
    <row r="99" spans="16:20" x14ac:dyDescent="0.3">
      <c r="P99" s="43">
        <v>479</v>
      </c>
      <c r="Q99" s="78">
        <f>VLOOKUP(P99,'Probabilities &amp; Price Slide'!$H$20:$N$23,4, TRUE)</f>
        <v>-0.14247373693697712</v>
      </c>
      <c r="R99" s="78">
        <f>VLOOKUP(P99,'Probabilities &amp; Price Slide'!$H$20:$N$23,5, TRUE)</f>
        <v>-9.4798772739497356E-2</v>
      </c>
      <c r="S99" s="78">
        <f>VLOOKUP(P99,'Probabilities &amp; Price Slide'!$H$20:$N$23,6, TRUE)</f>
        <v>-4.7674964197479769E-2</v>
      </c>
      <c r="T99" s="78">
        <f>VLOOKUP(P99,'Probabilities &amp; Price Slide'!$H$20:$N$23,7, TRUE)</f>
        <v>-4.7674964197479769E-2</v>
      </c>
    </row>
    <row r="100" spans="16:20" x14ac:dyDescent="0.3">
      <c r="P100" s="43">
        <v>480</v>
      </c>
      <c r="Q100" s="78">
        <f>VLOOKUP(P100,'Probabilities &amp; Price Slide'!$H$20:$N$23,4, TRUE)</f>
        <v>-0.14247373693697712</v>
      </c>
      <c r="R100" s="78">
        <f>VLOOKUP(P100,'Probabilities &amp; Price Slide'!$H$20:$N$23,5, TRUE)</f>
        <v>-9.4798772739497356E-2</v>
      </c>
      <c r="S100" s="78">
        <f>VLOOKUP(P100,'Probabilities &amp; Price Slide'!$H$20:$N$23,6, TRUE)</f>
        <v>-4.7674964197479769E-2</v>
      </c>
      <c r="T100" s="78">
        <f>VLOOKUP(P100,'Probabilities &amp; Price Slide'!$H$20:$N$23,7, TRUE)</f>
        <v>-4.7674964197479769E-2</v>
      </c>
    </row>
    <row r="101" spans="16:20" x14ac:dyDescent="0.3">
      <c r="P101" s="43">
        <v>481</v>
      </c>
      <c r="Q101" s="78">
        <f>VLOOKUP(P101,'Probabilities &amp; Price Slide'!$H$20:$N$23,4, TRUE)</f>
        <v>-0.14247373693697712</v>
      </c>
      <c r="R101" s="78">
        <f>VLOOKUP(P101,'Probabilities &amp; Price Slide'!$H$20:$N$23,5, TRUE)</f>
        <v>-9.4798772739497356E-2</v>
      </c>
      <c r="S101" s="78">
        <f>VLOOKUP(P101,'Probabilities &amp; Price Slide'!$H$20:$N$23,6, TRUE)</f>
        <v>-4.7674964197479769E-2</v>
      </c>
      <c r="T101" s="78">
        <f>VLOOKUP(P101,'Probabilities &amp; Price Slide'!$H$20:$N$23,7, TRUE)</f>
        <v>-4.7674964197479769E-2</v>
      </c>
    </row>
    <row r="102" spans="16:20" x14ac:dyDescent="0.3">
      <c r="P102" s="43">
        <v>482</v>
      </c>
      <c r="Q102" s="78">
        <f>VLOOKUP(P102,'Probabilities &amp; Price Slide'!$H$20:$N$23,4, TRUE)</f>
        <v>-0.14247373693697712</v>
      </c>
      <c r="R102" s="78">
        <f>VLOOKUP(P102,'Probabilities &amp; Price Slide'!$H$20:$N$23,5, TRUE)</f>
        <v>-9.4798772739497356E-2</v>
      </c>
      <c r="S102" s="78">
        <f>VLOOKUP(P102,'Probabilities &amp; Price Slide'!$H$20:$N$23,6, TRUE)</f>
        <v>-4.7674964197479769E-2</v>
      </c>
      <c r="T102" s="78">
        <f>VLOOKUP(P102,'Probabilities &amp; Price Slide'!$H$20:$N$23,7, TRUE)</f>
        <v>-4.7674964197479769E-2</v>
      </c>
    </row>
    <row r="103" spans="16:20" x14ac:dyDescent="0.3">
      <c r="P103" s="43">
        <v>483</v>
      </c>
      <c r="Q103" s="78">
        <f>VLOOKUP(P103,'Probabilities &amp; Price Slide'!$H$20:$N$23,4, TRUE)</f>
        <v>-0.14247373693697712</v>
      </c>
      <c r="R103" s="78">
        <f>VLOOKUP(P103,'Probabilities &amp; Price Slide'!$H$20:$N$23,5, TRUE)</f>
        <v>-9.4798772739497356E-2</v>
      </c>
      <c r="S103" s="78">
        <f>VLOOKUP(P103,'Probabilities &amp; Price Slide'!$H$20:$N$23,6, TRUE)</f>
        <v>-4.7674964197479769E-2</v>
      </c>
      <c r="T103" s="78">
        <f>VLOOKUP(P103,'Probabilities &amp; Price Slide'!$H$20:$N$23,7, TRUE)</f>
        <v>-4.7674964197479769E-2</v>
      </c>
    </row>
    <row r="104" spans="16:20" x14ac:dyDescent="0.3">
      <c r="P104" s="43">
        <v>484</v>
      </c>
      <c r="Q104" s="78">
        <f>VLOOKUP(P104,'Probabilities &amp; Price Slide'!$H$20:$N$23,4, TRUE)</f>
        <v>-0.14247373693697712</v>
      </c>
      <c r="R104" s="78">
        <f>VLOOKUP(P104,'Probabilities &amp; Price Slide'!$H$20:$N$23,5, TRUE)</f>
        <v>-9.4798772739497356E-2</v>
      </c>
      <c r="S104" s="78">
        <f>VLOOKUP(P104,'Probabilities &amp; Price Slide'!$H$20:$N$23,6, TRUE)</f>
        <v>-4.7674964197479769E-2</v>
      </c>
      <c r="T104" s="78">
        <f>VLOOKUP(P104,'Probabilities &amp; Price Slide'!$H$20:$N$23,7, TRUE)</f>
        <v>-4.7674964197479769E-2</v>
      </c>
    </row>
    <row r="105" spans="16:20" x14ac:dyDescent="0.3">
      <c r="P105" s="43">
        <v>485</v>
      </c>
      <c r="Q105" s="78">
        <f>VLOOKUP(P105,'Probabilities &amp; Price Slide'!$H$20:$N$23,4, TRUE)</f>
        <v>-0.14247373693697712</v>
      </c>
      <c r="R105" s="78">
        <f>VLOOKUP(P105,'Probabilities &amp; Price Slide'!$H$20:$N$23,5, TRUE)</f>
        <v>-9.4798772739497356E-2</v>
      </c>
      <c r="S105" s="78">
        <f>VLOOKUP(P105,'Probabilities &amp; Price Slide'!$H$20:$N$23,6, TRUE)</f>
        <v>-4.7674964197479769E-2</v>
      </c>
      <c r="T105" s="78">
        <f>VLOOKUP(P105,'Probabilities &amp; Price Slide'!$H$20:$N$23,7, TRUE)</f>
        <v>-4.7674964197479769E-2</v>
      </c>
    </row>
    <row r="106" spans="16:20" x14ac:dyDescent="0.3">
      <c r="P106" s="43">
        <v>486</v>
      </c>
      <c r="Q106" s="78">
        <f>VLOOKUP(P106,'Probabilities &amp; Price Slide'!$H$20:$N$23,4, TRUE)</f>
        <v>-0.14247373693697712</v>
      </c>
      <c r="R106" s="78">
        <f>VLOOKUP(P106,'Probabilities &amp; Price Slide'!$H$20:$N$23,5, TRUE)</f>
        <v>-9.4798772739497356E-2</v>
      </c>
      <c r="S106" s="78">
        <f>VLOOKUP(P106,'Probabilities &amp; Price Slide'!$H$20:$N$23,6, TRUE)</f>
        <v>-4.7674964197479769E-2</v>
      </c>
      <c r="T106" s="78">
        <f>VLOOKUP(P106,'Probabilities &amp; Price Slide'!$H$20:$N$23,7, TRUE)</f>
        <v>-4.7674964197479769E-2</v>
      </c>
    </row>
    <row r="107" spans="16:20" x14ac:dyDescent="0.3">
      <c r="P107" s="43">
        <v>487</v>
      </c>
      <c r="Q107" s="78">
        <f>VLOOKUP(P107,'Probabilities &amp; Price Slide'!$H$20:$N$23,4, TRUE)</f>
        <v>-0.14247373693697712</v>
      </c>
      <c r="R107" s="78">
        <f>VLOOKUP(P107,'Probabilities &amp; Price Slide'!$H$20:$N$23,5, TRUE)</f>
        <v>-9.4798772739497356E-2</v>
      </c>
      <c r="S107" s="78">
        <f>VLOOKUP(P107,'Probabilities &amp; Price Slide'!$H$20:$N$23,6, TRUE)</f>
        <v>-4.7674964197479769E-2</v>
      </c>
      <c r="T107" s="78">
        <f>VLOOKUP(P107,'Probabilities &amp; Price Slide'!$H$20:$N$23,7, TRUE)</f>
        <v>-4.7674964197479769E-2</v>
      </c>
    </row>
    <row r="108" spans="16:20" x14ac:dyDescent="0.3">
      <c r="P108" s="43">
        <v>488</v>
      </c>
      <c r="Q108" s="78">
        <f>VLOOKUP(P108,'Probabilities &amp; Price Slide'!$H$20:$N$23,4, TRUE)</f>
        <v>-0.14247373693697712</v>
      </c>
      <c r="R108" s="78">
        <f>VLOOKUP(P108,'Probabilities &amp; Price Slide'!$H$20:$N$23,5, TRUE)</f>
        <v>-9.4798772739497356E-2</v>
      </c>
      <c r="S108" s="78">
        <f>VLOOKUP(P108,'Probabilities &amp; Price Slide'!$H$20:$N$23,6, TRUE)</f>
        <v>-4.7674964197479769E-2</v>
      </c>
      <c r="T108" s="78">
        <f>VLOOKUP(P108,'Probabilities &amp; Price Slide'!$H$20:$N$23,7, TRUE)</f>
        <v>-4.7674964197479769E-2</v>
      </c>
    </row>
    <row r="109" spans="16:20" x14ac:dyDescent="0.3">
      <c r="P109" s="43">
        <v>489</v>
      </c>
      <c r="Q109" s="78">
        <f>VLOOKUP(P109,'Probabilities &amp; Price Slide'!$H$20:$N$23,4, TRUE)</f>
        <v>-0.14247373693697712</v>
      </c>
      <c r="R109" s="78">
        <f>VLOOKUP(P109,'Probabilities &amp; Price Slide'!$H$20:$N$23,5, TRUE)</f>
        <v>-9.4798772739497356E-2</v>
      </c>
      <c r="S109" s="78">
        <f>VLOOKUP(P109,'Probabilities &amp; Price Slide'!$H$20:$N$23,6, TRUE)</f>
        <v>-4.7674964197479769E-2</v>
      </c>
      <c r="T109" s="78">
        <f>VLOOKUP(P109,'Probabilities &amp; Price Slide'!$H$20:$N$23,7, TRUE)</f>
        <v>-4.7674964197479769E-2</v>
      </c>
    </row>
    <row r="110" spans="16:20" x14ac:dyDescent="0.3">
      <c r="P110" s="43">
        <v>490</v>
      </c>
      <c r="Q110" s="78">
        <f>VLOOKUP(P110,'Probabilities &amp; Price Slide'!$H$20:$N$23,4, TRUE)</f>
        <v>-0.14247373693697712</v>
      </c>
      <c r="R110" s="78">
        <f>VLOOKUP(P110,'Probabilities &amp; Price Slide'!$H$20:$N$23,5, TRUE)</f>
        <v>-9.4798772739497356E-2</v>
      </c>
      <c r="S110" s="78">
        <f>VLOOKUP(P110,'Probabilities &amp; Price Slide'!$H$20:$N$23,6, TRUE)</f>
        <v>-4.7674964197479769E-2</v>
      </c>
      <c r="T110" s="78">
        <f>VLOOKUP(P110,'Probabilities &amp; Price Slide'!$H$20:$N$23,7, TRUE)</f>
        <v>-4.7674964197479769E-2</v>
      </c>
    </row>
    <row r="111" spans="16:20" x14ac:dyDescent="0.3">
      <c r="P111" s="43">
        <v>491</v>
      </c>
      <c r="Q111" s="78">
        <f>VLOOKUP(P111,'Probabilities &amp; Price Slide'!$H$20:$N$23,4, TRUE)</f>
        <v>-0.14247373693697712</v>
      </c>
      <c r="R111" s="78">
        <f>VLOOKUP(P111,'Probabilities &amp; Price Slide'!$H$20:$N$23,5, TRUE)</f>
        <v>-9.4798772739497356E-2</v>
      </c>
      <c r="S111" s="78">
        <f>VLOOKUP(P111,'Probabilities &amp; Price Slide'!$H$20:$N$23,6, TRUE)</f>
        <v>-4.7674964197479769E-2</v>
      </c>
      <c r="T111" s="78">
        <f>VLOOKUP(P111,'Probabilities &amp; Price Slide'!$H$20:$N$23,7, TRUE)</f>
        <v>-4.7674964197479769E-2</v>
      </c>
    </row>
    <row r="112" spans="16:20" x14ac:dyDescent="0.3">
      <c r="P112" s="43">
        <v>492</v>
      </c>
      <c r="Q112" s="78">
        <f>VLOOKUP(P112,'Probabilities &amp; Price Slide'!$H$20:$N$23,4, TRUE)</f>
        <v>-0.14247373693697712</v>
      </c>
      <c r="R112" s="78">
        <f>VLOOKUP(P112,'Probabilities &amp; Price Slide'!$H$20:$N$23,5, TRUE)</f>
        <v>-9.4798772739497356E-2</v>
      </c>
      <c r="S112" s="78">
        <f>VLOOKUP(P112,'Probabilities &amp; Price Slide'!$H$20:$N$23,6, TRUE)</f>
        <v>-4.7674964197479769E-2</v>
      </c>
      <c r="T112" s="78">
        <f>VLOOKUP(P112,'Probabilities &amp; Price Slide'!$H$20:$N$23,7, TRUE)</f>
        <v>-4.7674964197479769E-2</v>
      </c>
    </row>
    <row r="113" spans="16:20" x14ac:dyDescent="0.3">
      <c r="P113" s="43">
        <v>493</v>
      </c>
      <c r="Q113" s="78">
        <f>VLOOKUP(P113,'Probabilities &amp; Price Slide'!$H$20:$N$23,4, TRUE)</f>
        <v>-0.14247373693697712</v>
      </c>
      <c r="R113" s="78">
        <f>VLOOKUP(P113,'Probabilities &amp; Price Slide'!$H$20:$N$23,5, TRUE)</f>
        <v>-9.4798772739497356E-2</v>
      </c>
      <c r="S113" s="78">
        <f>VLOOKUP(P113,'Probabilities &amp; Price Slide'!$H$20:$N$23,6, TRUE)</f>
        <v>-4.7674964197479769E-2</v>
      </c>
      <c r="T113" s="78">
        <f>VLOOKUP(P113,'Probabilities &amp; Price Slide'!$H$20:$N$23,7, TRUE)</f>
        <v>-4.7674964197479769E-2</v>
      </c>
    </row>
    <row r="114" spans="16:20" x14ac:dyDescent="0.3">
      <c r="P114" s="43">
        <v>494</v>
      </c>
      <c r="Q114" s="78">
        <f>VLOOKUP(P114,'Probabilities &amp; Price Slide'!$H$20:$N$23,4, TRUE)</f>
        <v>-0.14247373693697712</v>
      </c>
      <c r="R114" s="78">
        <f>VLOOKUP(P114,'Probabilities &amp; Price Slide'!$H$20:$N$23,5, TRUE)</f>
        <v>-9.4798772739497356E-2</v>
      </c>
      <c r="S114" s="78">
        <f>VLOOKUP(P114,'Probabilities &amp; Price Slide'!$H$20:$N$23,6, TRUE)</f>
        <v>-4.7674964197479769E-2</v>
      </c>
      <c r="T114" s="78">
        <f>VLOOKUP(P114,'Probabilities &amp; Price Slide'!$H$20:$N$23,7, TRUE)</f>
        <v>-4.7674964197479769E-2</v>
      </c>
    </row>
    <row r="115" spans="16:20" x14ac:dyDescent="0.3">
      <c r="P115" s="43">
        <v>495</v>
      </c>
      <c r="Q115" s="78">
        <f>VLOOKUP(P115,'Probabilities &amp; Price Slide'!$H$20:$N$23,4, TRUE)</f>
        <v>-0.14247373693697712</v>
      </c>
      <c r="R115" s="78">
        <f>VLOOKUP(P115,'Probabilities &amp; Price Slide'!$H$20:$N$23,5, TRUE)</f>
        <v>-9.4798772739497356E-2</v>
      </c>
      <c r="S115" s="78">
        <f>VLOOKUP(P115,'Probabilities &amp; Price Slide'!$H$20:$N$23,6, TRUE)</f>
        <v>-4.7674964197479769E-2</v>
      </c>
      <c r="T115" s="78">
        <f>VLOOKUP(P115,'Probabilities &amp; Price Slide'!$H$20:$N$23,7, TRUE)</f>
        <v>-4.7674964197479769E-2</v>
      </c>
    </row>
    <row r="116" spans="16:20" x14ac:dyDescent="0.3">
      <c r="P116" s="43">
        <v>496</v>
      </c>
      <c r="Q116" s="78">
        <f>VLOOKUP(P116,'Probabilities &amp; Price Slide'!$H$20:$N$23,4, TRUE)</f>
        <v>-0.14247373693697712</v>
      </c>
      <c r="R116" s="78">
        <f>VLOOKUP(P116,'Probabilities &amp; Price Slide'!$H$20:$N$23,5, TRUE)</f>
        <v>-9.4798772739497356E-2</v>
      </c>
      <c r="S116" s="78">
        <f>VLOOKUP(P116,'Probabilities &amp; Price Slide'!$H$20:$N$23,6, TRUE)</f>
        <v>-4.7674964197479769E-2</v>
      </c>
      <c r="T116" s="78">
        <f>VLOOKUP(P116,'Probabilities &amp; Price Slide'!$H$20:$N$23,7, TRUE)</f>
        <v>-4.7674964197479769E-2</v>
      </c>
    </row>
    <row r="117" spans="16:20" x14ac:dyDescent="0.3">
      <c r="P117" s="43">
        <v>497</v>
      </c>
      <c r="Q117" s="78">
        <f>VLOOKUP(P117,'Probabilities &amp; Price Slide'!$H$20:$N$23,4, TRUE)</f>
        <v>-0.14247373693697712</v>
      </c>
      <c r="R117" s="78">
        <f>VLOOKUP(P117,'Probabilities &amp; Price Slide'!$H$20:$N$23,5, TRUE)</f>
        <v>-9.4798772739497356E-2</v>
      </c>
      <c r="S117" s="78">
        <f>VLOOKUP(P117,'Probabilities &amp; Price Slide'!$H$20:$N$23,6, TRUE)</f>
        <v>-4.7674964197479769E-2</v>
      </c>
      <c r="T117" s="78">
        <f>VLOOKUP(P117,'Probabilities &amp; Price Slide'!$H$20:$N$23,7, TRUE)</f>
        <v>-4.7674964197479769E-2</v>
      </c>
    </row>
    <row r="118" spans="16:20" x14ac:dyDescent="0.3">
      <c r="P118" s="43">
        <v>498</v>
      </c>
      <c r="Q118" s="78">
        <f>VLOOKUP(P118,'Probabilities &amp; Price Slide'!$H$20:$N$23,4, TRUE)</f>
        <v>-0.14247373693697712</v>
      </c>
      <c r="R118" s="78">
        <f>VLOOKUP(P118,'Probabilities &amp; Price Slide'!$H$20:$N$23,5, TRUE)</f>
        <v>-9.4798772739497356E-2</v>
      </c>
      <c r="S118" s="78">
        <f>VLOOKUP(P118,'Probabilities &amp; Price Slide'!$H$20:$N$23,6, TRUE)</f>
        <v>-4.7674964197479769E-2</v>
      </c>
      <c r="T118" s="78">
        <f>VLOOKUP(P118,'Probabilities &amp; Price Slide'!$H$20:$N$23,7, TRUE)</f>
        <v>-4.7674964197479769E-2</v>
      </c>
    </row>
    <row r="119" spans="16:20" x14ac:dyDescent="0.3">
      <c r="P119" s="43">
        <v>499</v>
      </c>
      <c r="Q119" s="78">
        <f>VLOOKUP(P119,'Probabilities &amp; Price Slide'!$H$20:$N$23,4, TRUE)</f>
        <v>-0.14247373693697712</v>
      </c>
      <c r="R119" s="78">
        <f>VLOOKUP(P119,'Probabilities &amp; Price Slide'!$H$20:$N$23,5, TRUE)</f>
        <v>-9.4798772739497356E-2</v>
      </c>
      <c r="S119" s="78">
        <f>VLOOKUP(P119,'Probabilities &amp; Price Slide'!$H$20:$N$23,6, TRUE)</f>
        <v>-4.7674964197479769E-2</v>
      </c>
      <c r="T119" s="78">
        <f>VLOOKUP(P119,'Probabilities &amp; Price Slide'!$H$20:$N$23,7, TRUE)</f>
        <v>-4.7674964197479769E-2</v>
      </c>
    </row>
    <row r="120" spans="16:20" x14ac:dyDescent="0.3">
      <c r="P120" s="43">
        <v>500</v>
      </c>
      <c r="Q120" s="78">
        <f>VLOOKUP(P120,'Probabilities &amp; Price Slide'!$H$20:$N$23,4, TRUE)</f>
        <v>-0.14247373693697712</v>
      </c>
      <c r="R120" s="78">
        <f>VLOOKUP(P120,'Probabilities &amp; Price Slide'!$H$20:$N$23,5, TRUE)</f>
        <v>-9.4798772739497356E-2</v>
      </c>
      <c r="S120" s="78">
        <f>VLOOKUP(P120,'Probabilities &amp; Price Slide'!$H$20:$N$23,6, TRUE)</f>
        <v>-4.7674964197479769E-2</v>
      </c>
      <c r="T120" s="78">
        <f>VLOOKUP(P120,'Probabilities &amp; Price Slide'!$H$20:$N$23,7, TRUE)</f>
        <v>-4.7674964197479769E-2</v>
      </c>
    </row>
    <row r="121" spans="16:20" x14ac:dyDescent="0.3">
      <c r="P121" s="43">
        <v>501</v>
      </c>
      <c r="Q121" s="78">
        <f>VLOOKUP(P121,'Probabilities &amp; Price Slide'!$H$20:$N$23,4, TRUE)</f>
        <v>-0.14247373693697712</v>
      </c>
      <c r="R121" s="78">
        <f>VLOOKUP(P121,'Probabilities &amp; Price Slide'!$H$20:$N$23,5, TRUE)</f>
        <v>-9.4798772739497356E-2</v>
      </c>
      <c r="S121" s="78">
        <f>VLOOKUP(P121,'Probabilities &amp; Price Slide'!$H$20:$N$23,6, TRUE)</f>
        <v>-4.7674964197479769E-2</v>
      </c>
      <c r="T121" s="78">
        <f>VLOOKUP(P121,'Probabilities &amp; Price Slide'!$H$20:$N$23,7, TRUE)</f>
        <v>-4.7674964197479769E-2</v>
      </c>
    </row>
    <row r="122" spans="16:20" x14ac:dyDescent="0.3">
      <c r="P122" s="43">
        <v>502</v>
      </c>
      <c r="Q122" s="78">
        <f>VLOOKUP(P122,'Probabilities &amp; Price Slide'!$H$20:$N$23,4, TRUE)</f>
        <v>-0.14247373693697712</v>
      </c>
      <c r="R122" s="78">
        <f>VLOOKUP(P122,'Probabilities &amp; Price Slide'!$H$20:$N$23,5, TRUE)</f>
        <v>-9.4798772739497356E-2</v>
      </c>
      <c r="S122" s="78">
        <f>VLOOKUP(P122,'Probabilities &amp; Price Slide'!$H$20:$N$23,6, TRUE)</f>
        <v>-4.7674964197479769E-2</v>
      </c>
      <c r="T122" s="78">
        <f>VLOOKUP(P122,'Probabilities &amp; Price Slide'!$H$20:$N$23,7, TRUE)</f>
        <v>-4.7674964197479769E-2</v>
      </c>
    </row>
    <row r="123" spans="16:20" x14ac:dyDescent="0.3">
      <c r="P123" s="43">
        <v>503</v>
      </c>
      <c r="Q123" s="78">
        <f>VLOOKUP(P123,'Probabilities &amp; Price Slide'!$H$20:$N$23,4, TRUE)</f>
        <v>-0.14247373693697712</v>
      </c>
      <c r="R123" s="78">
        <f>VLOOKUP(P123,'Probabilities &amp; Price Slide'!$H$20:$N$23,5, TRUE)</f>
        <v>-9.4798772739497356E-2</v>
      </c>
      <c r="S123" s="78">
        <f>VLOOKUP(P123,'Probabilities &amp; Price Slide'!$H$20:$N$23,6, TRUE)</f>
        <v>-4.7674964197479769E-2</v>
      </c>
      <c r="T123" s="78">
        <f>VLOOKUP(P123,'Probabilities &amp; Price Slide'!$H$20:$N$23,7, TRUE)</f>
        <v>-4.7674964197479769E-2</v>
      </c>
    </row>
    <row r="124" spans="16:20" x14ac:dyDescent="0.3">
      <c r="P124" s="43">
        <v>504</v>
      </c>
      <c r="Q124" s="78">
        <f>VLOOKUP(P124,'Probabilities &amp; Price Slide'!$H$20:$N$23,4, TRUE)</f>
        <v>-0.14247373693697712</v>
      </c>
      <c r="R124" s="78">
        <f>VLOOKUP(P124,'Probabilities &amp; Price Slide'!$H$20:$N$23,5, TRUE)</f>
        <v>-9.4798772739497356E-2</v>
      </c>
      <c r="S124" s="78">
        <f>VLOOKUP(P124,'Probabilities &amp; Price Slide'!$H$20:$N$23,6, TRUE)</f>
        <v>-4.7674964197479769E-2</v>
      </c>
      <c r="T124" s="78">
        <f>VLOOKUP(P124,'Probabilities &amp; Price Slide'!$H$20:$N$23,7, TRUE)</f>
        <v>-4.7674964197479769E-2</v>
      </c>
    </row>
    <row r="125" spans="16:20" x14ac:dyDescent="0.3">
      <c r="P125" s="43">
        <v>505</v>
      </c>
      <c r="Q125" s="78">
        <f>VLOOKUP(P125,'Probabilities &amp; Price Slide'!$H$20:$N$23,4, TRUE)</f>
        <v>-0.14247373693697712</v>
      </c>
      <c r="R125" s="78">
        <f>VLOOKUP(P125,'Probabilities &amp; Price Slide'!$H$20:$N$23,5, TRUE)</f>
        <v>-9.4798772739497356E-2</v>
      </c>
      <c r="S125" s="78">
        <f>VLOOKUP(P125,'Probabilities &amp; Price Slide'!$H$20:$N$23,6, TRUE)</f>
        <v>-4.7674964197479769E-2</v>
      </c>
      <c r="T125" s="78">
        <f>VLOOKUP(P125,'Probabilities &amp; Price Slide'!$H$20:$N$23,7, TRUE)</f>
        <v>-4.7674964197479769E-2</v>
      </c>
    </row>
    <row r="126" spans="16:20" x14ac:dyDescent="0.3">
      <c r="P126" s="43">
        <v>506</v>
      </c>
      <c r="Q126" s="78">
        <f>VLOOKUP(P126,'Probabilities &amp; Price Slide'!$H$20:$N$23,4, TRUE)</f>
        <v>-0.14247373693697712</v>
      </c>
      <c r="R126" s="78">
        <f>VLOOKUP(P126,'Probabilities &amp; Price Slide'!$H$20:$N$23,5, TRUE)</f>
        <v>-9.4798772739497356E-2</v>
      </c>
      <c r="S126" s="78">
        <f>VLOOKUP(P126,'Probabilities &amp; Price Slide'!$H$20:$N$23,6, TRUE)</f>
        <v>-4.7674964197479769E-2</v>
      </c>
      <c r="T126" s="78">
        <f>VLOOKUP(P126,'Probabilities &amp; Price Slide'!$H$20:$N$23,7, TRUE)</f>
        <v>-4.7674964197479769E-2</v>
      </c>
    </row>
    <row r="127" spans="16:20" x14ac:dyDescent="0.3">
      <c r="P127" s="43">
        <v>507</v>
      </c>
      <c r="Q127" s="78">
        <f>VLOOKUP(P127,'Probabilities &amp; Price Slide'!$H$20:$N$23,4, TRUE)</f>
        <v>-0.14247373693697712</v>
      </c>
      <c r="R127" s="78">
        <f>VLOOKUP(P127,'Probabilities &amp; Price Slide'!$H$20:$N$23,5, TRUE)</f>
        <v>-9.4798772739497356E-2</v>
      </c>
      <c r="S127" s="78">
        <f>VLOOKUP(P127,'Probabilities &amp; Price Slide'!$H$20:$N$23,6, TRUE)</f>
        <v>-4.7674964197479769E-2</v>
      </c>
      <c r="T127" s="78">
        <f>VLOOKUP(P127,'Probabilities &amp; Price Slide'!$H$20:$N$23,7, TRUE)</f>
        <v>-4.7674964197479769E-2</v>
      </c>
    </row>
    <row r="128" spans="16:20" x14ac:dyDescent="0.3">
      <c r="P128" s="43">
        <v>508</v>
      </c>
      <c r="Q128" s="78">
        <f>VLOOKUP(P128,'Probabilities &amp; Price Slide'!$H$20:$N$23,4, TRUE)</f>
        <v>-0.14247373693697712</v>
      </c>
      <c r="R128" s="78">
        <f>VLOOKUP(P128,'Probabilities &amp; Price Slide'!$H$20:$N$23,5, TRUE)</f>
        <v>-9.4798772739497356E-2</v>
      </c>
      <c r="S128" s="78">
        <f>VLOOKUP(P128,'Probabilities &amp; Price Slide'!$H$20:$N$23,6, TRUE)</f>
        <v>-4.7674964197479769E-2</v>
      </c>
      <c r="T128" s="78">
        <f>VLOOKUP(P128,'Probabilities &amp; Price Slide'!$H$20:$N$23,7, TRUE)</f>
        <v>-4.7674964197479769E-2</v>
      </c>
    </row>
    <row r="129" spans="16:20" x14ac:dyDescent="0.3">
      <c r="P129" s="43">
        <v>509</v>
      </c>
      <c r="Q129" s="78">
        <f>VLOOKUP(P129,'Probabilities &amp; Price Slide'!$H$20:$N$23,4, TRUE)</f>
        <v>-0.14247373693697712</v>
      </c>
      <c r="R129" s="78">
        <f>VLOOKUP(P129,'Probabilities &amp; Price Slide'!$H$20:$N$23,5, TRUE)</f>
        <v>-9.4798772739497356E-2</v>
      </c>
      <c r="S129" s="78">
        <f>VLOOKUP(P129,'Probabilities &amp; Price Slide'!$H$20:$N$23,6, TRUE)</f>
        <v>-4.7674964197479769E-2</v>
      </c>
      <c r="T129" s="78">
        <f>VLOOKUP(P129,'Probabilities &amp; Price Slide'!$H$20:$N$23,7, TRUE)</f>
        <v>-4.7674964197479769E-2</v>
      </c>
    </row>
    <row r="130" spans="16:20" x14ac:dyDescent="0.3">
      <c r="P130" s="43">
        <v>510</v>
      </c>
      <c r="Q130" s="78">
        <f>VLOOKUP(P130,'Probabilities &amp; Price Slide'!$H$20:$N$23,4, TRUE)</f>
        <v>-0.14247373693697712</v>
      </c>
      <c r="R130" s="78">
        <f>VLOOKUP(P130,'Probabilities &amp; Price Slide'!$H$20:$N$23,5, TRUE)</f>
        <v>-9.4798772739497356E-2</v>
      </c>
      <c r="S130" s="78">
        <f>VLOOKUP(P130,'Probabilities &amp; Price Slide'!$H$20:$N$23,6, TRUE)</f>
        <v>-4.7674964197479769E-2</v>
      </c>
      <c r="T130" s="78">
        <f>VLOOKUP(P130,'Probabilities &amp; Price Slide'!$H$20:$N$23,7, TRUE)</f>
        <v>-4.7674964197479769E-2</v>
      </c>
    </row>
    <row r="131" spans="16:20" x14ac:dyDescent="0.3">
      <c r="P131" s="43">
        <v>511</v>
      </c>
      <c r="Q131" s="78">
        <f>VLOOKUP(P131,'Probabilities &amp; Price Slide'!$H$20:$N$23,4, TRUE)</f>
        <v>-0.14247373693697712</v>
      </c>
      <c r="R131" s="78">
        <f>VLOOKUP(P131,'Probabilities &amp; Price Slide'!$H$20:$N$23,5, TRUE)</f>
        <v>-9.4798772739497356E-2</v>
      </c>
      <c r="S131" s="78">
        <f>VLOOKUP(P131,'Probabilities &amp; Price Slide'!$H$20:$N$23,6, TRUE)</f>
        <v>-4.7674964197479769E-2</v>
      </c>
      <c r="T131" s="78">
        <f>VLOOKUP(P131,'Probabilities &amp; Price Slide'!$H$20:$N$23,7, TRUE)</f>
        <v>-4.7674964197479769E-2</v>
      </c>
    </row>
    <row r="132" spans="16:20" x14ac:dyDescent="0.3">
      <c r="P132" s="43">
        <v>512</v>
      </c>
      <c r="Q132" s="78">
        <f>VLOOKUP(P132,'Probabilities &amp; Price Slide'!$H$20:$N$23,4, TRUE)</f>
        <v>-0.14247373693697712</v>
      </c>
      <c r="R132" s="78">
        <f>VLOOKUP(P132,'Probabilities &amp; Price Slide'!$H$20:$N$23,5, TRUE)</f>
        <v>-9.4798772739497356E-2</v>
      </c>
      <c r="S132" s="78">
        <f>VLOOKUP(P132,'Probabilities &amp; Price Slide'!$H$20:$N$23,6, TRUE)</f>
        <v>-4.7674964197479769E-2</v>
      </c>
      <c r="T132" s="78">
        <f>VLOOKUP(P132,'Probabilities &amp; Price Slide'!$H$20:$N$23,7, TRUE)</f>
        <v>-4.7674964197479769E-2</v>
      </c>
    </row>
    <row r="133" spans="16:20" x14ac:dyDescent="0.3">
      <c r="P133" s="43">
        <v>513</v>
      </c>
      <c r="Q133" s="78">
        <f>VLOOKUP(P133,'Probabilities &amp; Price Slide'!$H$20:$N$23,4, TRUE)</f>
        <v>-0.14247373693697712</v>
      </c>
      <c r="R133" s="78">
        <f>VLOOKUP(P133,'Probabilities &amp; Price Slide'!$H$20:$N$23,5, TRUE)</f>
        <v>-9.4798772739497356E-2</v>
      </c>
      <c r="S133" s="78">
        <f>VLOOKUP(P133,'Probabilities &amp; Price Slide'!$H$20:$N$23,6, TRUE)</f>
        <v>-4.7674964197479769E-2</v>
      </c>
      <c r="T133" s="78">
        <f>VLOOKUP(P133,'Probabilities &amp; Price Slide'!$H$20:$N$23,7, TRUE)</f>
        <v>-4.7674964197479769E-2</v>
      </c>
    </row>
    <row r="134" spans="16:20" x14ac:dyDescent="0.3">
      <c r="P134" s="43">
        <v>514</v>
      </c>
      <c r="Q134" s="78">
        <f>VLOOKUP(P134,'Probabilities &amp; Price Slide'!$H$20:$N$23,4, TRUE)</f>
        <v>-0.14247373693697712</v>
      </c>
      <c r="R134" s="78">
        <f>VLOOKUP(P134,'Probabilities &amp; Price Slide'!$H$20:$N$23,5, TRUE)</f>
        <v>-9.4798772739497356E-2</v>
      </c>
      <c r="S134" s="78">
        <f>VLOOKUP(P134,'Probabilities &amp; Price Slide'!$H$20:$N$23,6, TRUE)</f>
        <v>-4.7674964197479769E-2</v>
      </c>
      <c r="T134" s="78">
        <f>VLOOKUP(P134,'Probabilities &amp; Price Slide'!$H$20:$N$23,7, TRUE)</f>
        <v>-4.7674964197479769E-2</v>
      </c>
    </row>
    <row r="135" spans="16:20" x14ac:dyDescent="0.3">
      <c r="P135" s="43">
        <v>515</v>
      </c>
      <c r="Q135" s="78">
        <f>VLOOKUP(P135,'Probabilities &amp; Price Slide'!$H$20:$N$23,4, TRUE)</f>
        <v>-0.14247373693697712</v>
      </c>
      <c r="R135" s="78">
        <f>VLOOKUP(P135,'Probabilities &amp; Price Slide'!$H$20:$N$23,5, TRUE)</f>
        <v>-9.4798772739497356E-2</v>
      </c>
      <c r="S135" s="78">
        <f>VLOOKUP(P135,'Probabilities &amp; Price Slide'!$H$20:$N$23,6, TRUE)</f>
        <v>-4.7674964197479769E-2</v>
      </c>
      <c r="T135" s="78">
        <f>VLOOKUP(P135,'Probabilities &amp; Price Slide'!$H$20:$N$23,7, TRUE)</f>
        <v>-4.7674964197479769E-2</v>
      </c>
    </row>
    <row r="136" spans="16:20" x14ac:dyDescent="0.3">
      <c r="P136" s="43">
        <v>516</v>
      </c>
      <c r="Q136" s="78">
        <f>VLOOKUP(P136,'Probabilities &amp; Price Slide'!$H$20:$N$23,4, TRUE)</f>
        <v>-0.14247373693697712</v>
      </c>
      <c r="R136" s="78">
        <f>VLOOKUP(P136,'Probabilities &amp; Price Slide'!$H$20:$N$23,5, TRUE)</f>
        <v>-9.4798772739497356E-2</v>
      </c>
      <c r="S136" s="78">
        <f>VLOOKUP(P136,'Probabilities &amp; Price Slide'!$H$20:$N$23,6, TRUE)</f>
        <v>-4.7674964197479769E-2</v>
      </c>
      <c r="T136" s="78">
        <f>VLOOKUP(P136,'Probabilities &amp; Price Slide'!$H$20:$N$23,7, TRUE)</f>
        <v>-4.7674964197479769E-2</v>
      </c>
    </row>
    <row r="137" spans="16:20" x14ac:dyDescent="0.3">
      <c r="P137" s="43">
        <v>517</v>
      </c>
      <c r="Q137" s="78">
        <f>VLOOKUP(P137,'Probabilities &amp; Price Slide'!$H$20:$N$23,4, TRUE)</f>
        <v>-0.14247373693697712</v>
      </c>
      <c r="R137" s="78">
        <f>VLOOKUP(P137,'Probabilities &amp; Price Slide'!$H$20:$N$23,5, TRUE)</f>
        <v>-9.4798772739497356E-2</v>
      </c>
      <c r="S137" s="78">
        <f>VLOOKUP(P137,'Probabilities &amp; Price Slide'!$H$20:$N$23,6, TRUE)</f>
        <v>-4.7674964197479769E-2</v>
      </c>
      <c r="T137" s="78">
        <f>VLOOKUP(P137,'Probabilities &amp; Price Slide'!$H$20:$N$23,7, TRUE)</f>
        <v>-4.7674964197479769E-2</v>
      </c>
    </row>
    <row r="138" spans="16:20" x14ac:dyDescent="0.3">
      <c r="P138" s="43">
        <v>518</v>
      </c>
      <c r="Q138" s="78">
        <f>VLOOKUP(P138,'Probabilities &amp; Price Slide'!$H$20:$N$23,4, TRUE)</f>
        <v>-0.14247373693697712</v>
      </c>
      <c r="R138" s="78">
        <f>VLOOKUP(P138,'Probabilities &amp; Price Slide'!$H$20:$N$23,5, TRUE)</f>
        <v>-9.4798772739497356E-2</v>
      </c>
      <c r="S138" s="78">
        <f>VLOOKUP(P138,'Probabilities &amp; Price Slide'!$H$20:$N$23,6, TRUE)</f>
        <v>-4.7674964197479769E-2</v>
      </c>
      <c r="T138" s="78">
        <f>VLOOKUP(P138,'Probabilities &amp; Price Slide'!$H$20:$N$23,7, TRUE)</f>
        <v>-4.7674964197479769E-2</v>
      </c>
    </row>
    <row r="139" spans="16:20" x14ac:dyDescent="0.3">
      <c r="P139" s="43">
        <v>519</v>
      </c>
      <c r="Q139" s="78">
        <f>VLOOKUP(P139,'Probabilities &amp; Price Slide'!$H$20:$N$23,4, TRUE)</f>
        <v>-0.14247373693697712</v>
      </c>
      <c r="R139" s="78">
        <f>VLOOKUP(P139,'Probabilities &amp; Price Slide'!$H$20:$N$23,5, TRUE)</f>
        <v>-9.4798772739497356E-2</v>
      </c>
      <c r="S139" s="78">
        <f>VLOOKUP(P139,'Probabilities &amp; Price Slide'!$H$20:$N$23,6, TRUE)</f>
        <v>-4.7674964197479769E-2</v>
      </c>
      <c r="T139" s="78">
        <f>VLOOKUP(P139,'Probabilities &amp; Price Slide'!$H$20:$N$23,7, TRUE)</f>
        <v>-4.7674964197479769E-2</v>
      </c>
    </row>
    <row r="140" spans="16:20" x14ac:dyDescent="0.3">
      <c r="P140" s="43">
        <v>520</v>
      </c>
      <c r="Q140" s="78">
        <f>VLOOKUP(P140,'Probabilities &amp; Price Slide'!$H$20:$N$23,4, TRUE)</f>
        <v>-0.14247373693697712</v>
      </c>
      <c r="R140" s="78">
        <f>VLOOKUP(P140,'Probabilities &amp; Price Slide'!$H$20:$N$23,5, TRUE)</f>
        <v>-9.4798772739497356E-2</v>
      </c>
      <c r="S140" s="78">
        <f>VLOOKUP(P140,'Probabilities &amp; Price Slide'!$H$20:$N$23,6, TRUE)</f>
        <v>-4.7674964197479769E-2</v>
      </c>
      <c r="T140" s="78">
        <f>VLOOKUP(P140,'Probabilities &amp; Price Slide'!$H$20:$N$23,7, TRUE)</f>
        <v>-4.7674964197479769E-2</v>
      </c>
    </row>
    <row r="141" spans="16:20" x14ac:dyDescent="0.3">
      <c r="P141" s="43">
        <v>521</v>
      </c>
      <c r="Q141" s="78">
        <f>VLOOKUP(P141,'Probabilities &amp; Price Slide'!$H$20:$N$23,4, TRUE)</f>
        <v>-0.14247373693697712</v>
      </c>
      <c r="R141" s="78">
        <f>VLOOKUP(P141,'Probabilities &amp; Price Slide'!$H$20:$N$23,5, TRUE)</f>
        <v>-9.4798772739497356E-2</v>
      </c>
      <c r="S141" s="78">
        <f>VLOOKUP(P141,'Probabilities &amp; Price Slide'!$H$20:$N$23,6, TRUE)</f>
        <v>-4.7674964197479769E-2</v>
      </c>
      <c r="T141" s="78">
        <f>VLOOKUP(P141,'Probabilities &amp; Price Slide'!$H$20:$N$23,7, TRUE)</f>
        <v>-4.7674964197479769E-2</v>
      </c>
    </row>
    <row r="142" spans="16:20" x14ac:dyDescent="0.3">
      <c r="P142" s="43">
        <v>522</v>
      </c>
      <c r="Q142" s="78">
        <f>VLOOKUP(P142,'Probabilities &amp; Price Slide'!$H$20:$N$23,4, TRUE)</f>
        <v>-0.14247373693697712</v>
      </c>
      <c r="R142" s="78">
        <f>VLOOKUP(P142,'Probabilities &amp; Price Slide'!$H$20:$N$23,5, TRUE)</f>
        <v>-9.4798772739497356E-2</v>
      </c>
      <c r="S142" s="78">
        <f>VLOOKUP(P142,'Probabilities &amp; Price Slide'!$H$20:$N$23,6, TRUE)</f>
        <v>-4.7674964197479769E-2</v>
      </c>
      <c r="T142" s="78">
        <f>VLOOKUP(P142,'Probabilities &amp; Price Slide'!$H$20:$N$23,7, TRUE)</f>
        <v>-4.7674964197479769E-2</v>
      </c>
    </row>
    <row r="143" spans="16:20" x14ac:dyDescent="0.3">
      <c r="P143" s="43">
        <v>523</v>
      </c>
      <c r="Q143" s="78">
        <f>VLOOKUP(P143,'Probabilities &amp; Price Slide'!$H$20:$N$23,4, TRUE)</f>
        <v>-0.14247373693697712</v>
      </c>
      <c r="R143" s="78">
        <f>VLOOKUP(P143,'Probabilities &amp; Price Slide'!$H$20:$N$23,5, TRUE)</f>
        <v>-9.4798772739497356E-2</v>
      </c>
      <c r="S143" s="78">
        <f>VLOOKUP(P143,'Probabilities &amp; Price Slide'!$H$20:$N$23,6, TRUE)</f>
        <v>-4.7674964197479769E-2</v>
      </c>
      <c r="T143" s="78">
        <f>VLOOKUP(P143,'Probabilities &amp; Price Slide'!$H$20:$N$23,7, TRUE)</f>
        <v>-4.7674964197479769E-2</v>
      </c>
    </row>
    <row r="144" spans="16:20" x14ac:dyDescent="0.3">
      <c r="P144" s="43">
        <v>524</v>
      </c>
      <c r="Q144" s="78">
        <f>VLOOKUP(P144,'Probabilities &amp; Price Slide'!$H$20:$N$23,4, TRUE)</f>
        <v>-0.14247373693697712</v>
      </c>
      <c r="R144" s="78">
        <f>VLOOKUP(P144,'Probabilities &amp; Price Slide'!$H$20:$N$23,5, TRUE)</f>
        <v>-9.4798772739497356E-2</v>
      </c>
      <c r="S144" s="78">
        <f>VLOOKUP(P144,'Probabilities &amp; Price Slide'!$H$20:$N$23,6, TRUE)</f>
        <v>-4.7674964197479769E-2</v>
      </c>
      <c r="T144" s="78">
        <f>VLOOKUP(P144,'Probabilities &amp; Price Slide'!$H$20:$N$23,7, TRUE)</f>
        <v>-4.7674964197479769E-2</v>
      </c>
    </row>
    <row r="145" spans="16:20" x14ac:dyDescent="0.3">
      <c r="P145" s="43">
        <v>525</v>
      </c>
      <c r="Q145" s="78">
        <f>VLOOKUP(P145,'Probabilities &amp; Price Slide'!$H$20:$N$23,4, TRUE)</f>
        <v>-0.14247373693697712</v>
      </c>
      <c r="R145" s="78">
        <f>VLOOKUP(P145,'Probabilities &amp; Price Slide'!$H$20:$N$23,5, TRUE)</f>
        <v>-9.4798772739497356E-2</v>
      </c>
      <c r="S145" s="78">
        <f>VLOOKUP(P145,'Probabilities &amp; Price Slide'!$H$20:$N$23,6, TRUE)</f>
        <v>-4.7674964197479769E-2</v>
      </c>
      <c r="T145" s="78">
        <f>VLOOKUP(P145,'Probabilities &amp; Price Slide'!$H$20:$N$23,7, TRUE)</f>
        <v>-4.7674964197479769E-2</v>
      </c>
    </row>
    <row r="146" spans="16:20" x14ac:dyDescent="0.3">
      <c r="P146" s="43">
        <v>526</v>
      </c>
      <c r="Q146" s="78">
        <f>VLOOKUP(P146,'Probabilities &amp; Price Slide'!$H$20:$N$23,4, TRUE)</f>
        <v>-0.14247373693697712</v>
      </c>
      <c r="R146" s="78">
        <f>VLOOKUP(P146,'Probabilities &amp; Price Slide'!$H$20:$N$23,5, TRUE)</f>
        <v>-9.4798772739497356E-2</v>
      </c>
      <c r="S146" s="78">
        <f>VLOOKUP(P146,'Probabilities &amp; Price Slide'!$H$20:$N$23,6, TRUE)</f>
        <v>-4.7674964197479769E-2</v>
      </c>
      <c r="T146" s="78">
        <f>VLOOKUP(P146,'Probabilities &amp; Price Slide'!$H$20:$N$23,7, TRUE)</f>
        <v>-4.7674964197479769E-2</v>
      </c>
    </row>
    <row r="147" spans="16:20" x14ac:dyDescent="0.3">
      <c r="P147" s="43">
        <v>527</v>
      </c>
      <c r="Q147" s="78">
        <f>VLOOKUP(P147,'Probabilities &amp; Price Slide'!$H$20:$N$23,4, TRUE)</f>
        <v>-0.14247373693697712</v>
      </c>
      <c r="R147" s="78">
        <f>VLOOKUP(P147,'Probabilities &amp; Price Slide'!$H$20:$N$23,5, TRUE)</f>
        <v>-9.4798772739497356E-2</v>
      </c>
      <c r="S147" s="78">
        <f>VLOOKUP(P147,'Probabilities &amp; Price Slide'!$H$20:$N$23,6, TRUE)</f>
        <v>-4.7674964197479769E-2</v>
      </c>
      <c r="T147" s="78">
        <f>VLOOKUP(P147,'Probabilities &amp; Price Slide'!$H$20:$N$23,7, TRUE)</f>
        <v>-4.7674964197479769E-2</v>
      </c>
    </row>
    <row r="148" spans="16:20" x14ac:dyDescent="0.3">
      <c r="P148" s="43">
        <v>528</v>
      </c>
      <c r="Q148" s="78">
        <f>VLOOKUP(P148,'Probabilities &amp; Price Slide'!$H$20:$N$23,4, TRUE)</f>
        <v>-0.14247373693697712</v>
      </c>
      <c r="R148" s="78">
        <f>VLOOKUP(P148,'Probabilities &amp; Price Slide'!$H$20:$N$23,5, TRUE)</f>
        <v>-9.4798772739497356E-2</v>
      </c>
      <c r="S148" s="78">
        <f>VLOOKUP(P148,'Probabilities &amp; Price Slide'!$H$20:$N$23,6, TRUE)</f>
        <v>-4.7674964197479769E-2</v>
      </c>
      <c r="T148" s="78">
        <f>VLOOKUP(P148,'Probabilities &amp; Price Slide'!$H$20:$N$23,7, TRUE)</f>
        <v>-4.7674964197479769E-2</v>
      </c>
    </row>
    <row r="149" spans="16:20" x14ac:dyDescent="0.3">
      <c r="P149" s="43">
        <v>529</v>
      </c>
      <c r="Q149" s="78">
        <f>VLOOKUP(P149,'Probabilities &amp; Price Slide'!$H$20:$N$23,4, TRUE)</f>
        <v>-0.14247373693697712</v>
      </c>
      <c r="R149" s="78">
        <f>VLOOKUP(P149,'Probabilities &amp; Price Slide'!$H$20:$N$23,5, TRUE)</f>
        <v>-9.4798772739497356E-2</v>
      </c>
      <c r="S149" s="78">
        <f>VLOOKUP(P149,'Probabilities &amp; Price Slide'!$H$20:$N$23,6, TRUE)</f>
        <v>-4.7674964197479769E-2</v>
      </c>
      <c r="T149" s="78">
        <f>VLOOKUP(P149,'Probabilities &amp; Price Slide'!$H$20:$N$23,7, TRUE)</f>
        <v>-4.7674964197479769E-2</v>
      </c>
    </row>
    <row r="150" spans="16:20" x14ac:dyDescent="0.3">
      <c r="P150" s="43">
        <v>530</v>
      </c>
      <c r="Q150" s="78">
        <f>VLOOKUP(P150,'Probabilities &amp; Price Slide'!$H$20:$N$23,4, TRUE)</f>
        <v>-0.14247373693697712</v>
      </c>
      <c r="R150" s="78">
        <f>VLOOKUP(P150,'Probabilities &amp; Price Slide'!$H$20:$N$23,5, TRUE)</f>
        <v>-9.4798772739497356E-2</v>
      </c>
      <c r="S150" s="78">
        <f>VLOOKUP(P150,'Probabilities &amp; Price Slide'!$H$20:$N$23,6, TRUE)</f>
        <v>-4.7674964197479769E-2</v>
      </c>
      <c r="T150" s="78">
        <f>VLOOKUP(P150,'Probabilities &amp; Price Slide'!$H$20:$N$23,7, TRUE)</f>
        <v>-4.7674964197479769E-2</v>
      </c>
    </row>
    <row r="151" spans="16:20" x14ac:dyDescent="0.3">
      <c r="P151" s="43">
        <v>531</v>
      </c>
      <c r="Q151" s="78">
        <f>VLOOKUP(P151,'Probabilities &amp; Price Slide'!$H$20:$N$23,4, TRUE)</f>
        <v>-0.14247373693697712</v>
      </c>
      <c r="R151" s="78">
        <f>VLOOKUP(P151,'Probabilities &amp; Price Slide'!$H$20:$N$23,5, TRUE)</f>
        <v>-9.4798772739497356E-2</v>
      </c>
      <c r="S151" s="78">
        <f>VLOOKUP(P151,'Probabilities &amp; Price Slide'!$H$20:$N$23,6, TRUE)</f>
        <v>-4.7674964197479769E-2</v>
      </c>
      <c r="T151" s="78">
        <f>VLOOKUP(P151,'Probabilities &amp; Price Slide'!$H$20:$N$23,7, TRUE)</f>
        <v>-4.7674964197479769E-2</v>
      </c>
    </row>
    <row r="152" spans="16:20" x14ac:dyDescent="0.3">
      <c r="P152" s="43">
        <v>532</v>
      </c>
      <c r="Q152" s="78">
        <f>VLOOKUP(P152,'Probabilities &amp; Price Slide'!$H$20:$N$23,4, TRUE)</f>
        <v>-0.14247373693697712</v>
      </c>
      <c r="R152" s="78">
        <f>VLOOKUP(P152,'Probabilities &amp; Price Slide'!$H$20:$N$23,5, TRUE)</f>
        <v>-9.4798772739497356E-2</v>
      </c>
      <c r="S152" s="78">
        <f>VLOOKUP(P152,'Probabilities &amp; Price Slide'!$H$20:$N$23,6, TRUE)</f>
        <v>-4.7674964197479769E-2</v>
      </c>
      <c r="T152" s="78">
        <f>VLOOKUP(P152,'Probabilities &amp; Price Slide'!$H$20:$N$23,7, TRUE)</f>
        <v>-4.7674964197479769E-2</v>
      </c>
    </row>
    <row r="153" spans="16:20" x14ac:dyDescent="0.3">
      <c r="P153" s="43">
        <v>533</v>
      </c>
      <c r="Q153" s="78">
        <f>VLOOKUP(P153,'Probabilities &amp; Price Slide'!$H$20:$N$23,4, TRUE)</f>
        <v>-0.14247373693697712</v>
      </c>
      <c r="R153" s="78">
        <f>VLOOKUP(P153,'Probabilities &amp; Price Slide'!$H$20:$N$23,5, TRUE)</f>
        <v>-9.4798772739497356E-2</v>
      </c>
      <c r="S153" s="78">
        <f>VLOOKUP(P153,'Probabilities &amp; Price Slide'!$H$20:$N$23,6, TRUE)</f>
        <v>-4.7674964197479769E-2</v>
      </c>
      <c r="T153" s="78">
        <f>VLOOKUP(P153,'Probabilities &amp; Price Slide'!$H$20:$N$23,7, TRUE)</f>
        <v>-4.7674964197479769E-2</v>
      </c>
    </row>
    <row r="154" spans="16:20" x14ac:dyDescent="0.3">
      <c r="P154" s="43">
        <v>534</v>
      </c>
      <c r="Q154" s="78">
        <f>VLOOKUP(P154,'Probabilities &amp; Price Slide'!$H$20:$N$23,4, TRUE)</f>
        <v>-0.14247373693697712</v>
      </c>
      <c r="R154" s="78">
        <f>VLOOKUP(P154,'Probabilities &amp; Price Slide'!$H$20:$N$23,5, TRUE)</f>
        <v>-9.4798772739497356E-2</v>
      </c>
      <c r="S154" s="78">
        <f>VLOOKUP(P154,'Probabilities &amp; Price Slide'!$H$20:$N$23,6, TRUE)</f>
        <v>-4.7674964197479769E-2</v>
      </c>
      <c r="T154" s="78">
        <f>VLOOKUP(P154,'Probabilities &amp; Price Slide'!$H$20:$N$23,7, TRUE)</f>
        <v>-4.7674964197479769E-2</v>
      </c>
    </row>
    <row r="155" spans="16:20" x14ac:dyDescent="0.3">
      <c r="P155" s="43">
        <v>535</v>
      </c>
      <c r="Q155" s="78">
        <f>VLOOKUP(P155,'Probabilities &amp; Price Slide'!$H$20:$N$23,4, TRUE)</f>
        <v>-0.14247373693697712</v>
      </c>
      <c r="R155" s="78">
        <f>VLOOKUP(P155,'Probabilities &amp; Price Slide'!$H$20:$N$23,5, TRUE)</f>
        <v>-9.4798772739497356E-2</v>
      </c>
      <c r="S155" s="78">
        <f>VLOOKUP(P155,'Probabilities &amp; Price Slide'!$H$20:$N$23,6, TRUE)</f>
        <v>-4.7674964197479769E-2</v>
      </c>
      <c r="T155" s="78">
        <f>VLOOKUP(P155,'Probabilities &amp; Price Slide'!$H$20:$N$23,7, TRUE)</f>
        <v>-4.7674964197479769E-2</v>
      </c>
    </row>
    <row r="156" spans="16:20" x14ac:dyDescent="0.3">
      <c r="P156" s="43">
        <v>536</v>
      </c>
      <c r="Q156" s="78">
        <f>VLOOKUP(P156,'Probabilities &amp; Price Slide'!$H$20:$N$23,4, TRUE)</f>
        <v>-0.14247373693697712</v>
      </c>
      <c r="R156" s="78">
        <f>VLOOKUP(P156,'Probabilities &amp; Price Slide'!$H$20:$N$23,5, TRUE)</f>
        <v>-9.4798772739497356E-2</v>
      </c>
      <c r="S156" s="78">
        <f>VLOOKUP(P156,'Probabilities &amp; Price Slide'!$H$20:$N$23,6, TRUE)</f>
        <v>-4.7674964197479769E-2</v>
      </c>
      <c r="T156" s="78">
        <f>VLOOKUP(P156,'Probabilities &amp; Price Slide'!$H$20:$N$23,7, TRUE)</f>
        <v>-4.7674964197479769E-2</v>
      </c>
    </row>
    <row r="157" spans="16:20" x14ac:dyDescent="0.3">
      <c r="P157" s="43">
        <v>537</v>
      </c>
      <c r="Q157" s="78">
        <f>VLOOKUP(P157,'Probabilities &amp; Price Slide'!$H$20:$N$23,4, TRUE)</f>
        <v>-0.14247373693697712</v>
      </c>
      <c r="R157" s="78">
        <f>VLOOKUP(P157,'Probabilities &amp; Price Slide'!$H$20:$N$23,5, TRUE)</f>
        <v>-9.4798772739497356E-2</v>
      </c>
      <c r="S157" s="78">
        <f>VLOOKUP(P157,'Probabilities &amp; Price Slide'!$H$20:$N$23,6, TRUE)</f>
        <v>-4.7674964197479769E-2</v>
      </c>
      <c r="T157" s="78">
        <f>VLOOKUP(P157,'Probabilities &amp; Price Slide'!$H$20:$N$23,7, TRUE)</f>
        <v>-4.7674964197479769E-2</v>
      </c>
    </row>
    <row r="158" spans="16:20" x14ac:dyDescent="0.3">
      <c r="P158" s="43">
        <v>538</v>
      </c>
      <c r="Q158" s="78">
        <f>VLOOKUP(P158,'Probabilities &amp; Price Slide'!$H$20:$N$23,4, TRUE)</f>
        <v>-0.14247373693697712</v>
      </c>
      <c r="R158" s="78">
        <f>VLOOKUP(P158,'Probabilities &amp; Price Slide'!$H$20:$N$23,5, TRUE)</f>
        <v>-9.4798772739497356E-2</v>
      </c>
      <c r="S158" s="78">
        <f>VLOOKUP(P158,'Probabilities &amp; Price Slide'!$H$20:$N$23,6, TRUE)</f>
        <v>-4.7674964197479769E-2</v>
      </c>
      <c r="T158" s="78">
        <f>VLOOKUP(P158,'Probabilities &amp; Price Slide'!$H$20:$N$23,7, TRUE)</f>
        <v>-4.7674964197479769E-2</v>
      </c>
    </row>
    <row r="159" spans="16:20" x14ac:dyDescent="0.3">
      <c r="P159" s="43">
        <v>539</v>
      </c>
      <c r="Q159" s="78">
        <f>VLOOKUP(P159,'Probabilities &amp; Price Slide'!$H$20:$N$23,4, TRUE)</f>
        <v>-0.14247373693697712</v>
      </c>
      <c r="R159" s="78">
        <f>VLOOKUP(P159,'Probabilities &amp; Price Slide'!$H$20:$N$23,5, TRUE)</f>
        <v>-9.4798772739497356E-2</v>
      </c>
      <c r="S159" s="78">
        <f>VLOOKUP(P159,'Probabilities &amp; Price Slide'!$H$20:$N$23,6, TRUE)</f>
        <v>-4.7674964197479769E-2</v>
      </c>
      <c r="T159" s="78">
        <f>VLOOKUP(P159,'Probabilities &amp; Price Slide'!$H$20:$N$23,7, TRUE)</f>
        <v>-4.7674964197479769E-2</v>
      </c>
    </row>
    <row r="160" spans="16:20" x14ac:dyDescent="0.3">
      <c r="P160" s="43">
        <v>540</v>
      </c>
      <c r="Q160" s="78">
        <f>VLOOKUP(P160,'Probabilities &amp; Price Slide'!$H$20:$N$23,4, TRUE)</f>
        <v>-0.14247373693697712</v>
      </c>
      <c r="R160" s="78">
        <f>VLOOKUP(P160,'Probabilities &amp; Price Slide'!$H$20:$N$23,5, TRUE)</f>
        <v>-9.4798772739497356E-2</v>
      </c>
      <c r="S160" s="78">
        <f>VLOOKUP(P160,'Probabilities &amp; Price Slide'!$H$20:$N$23,6, TRUE)</f>
        <v>-4.7674964197479769E-2</v>
      </c>
      <c r="T160" s="78">
        <f>VLOOKUP(P160,'Probabilities &amp; Price Slide'!$H$20:$N$23,7, TRUE)</f>
        <v>-4.7674964197479769E-2</v>
      </c>
    </row>
    <row r="161" spans="16:20" x14ac:dyDescent="0.3">
      <c r="P161" s="43">
        <v>541</v>
      </c>
      <c r="Q161" s="78">
        <f>VLOOKUP(P161,'Probabilities &amp; Price Slide'!$H$20:$N$23,4, TRUE)</f>
        <v>-0.14247373693697712</v>
      </c>
      <c r="R161" s="78">
        <f>VLOOKUP(P161,'Probabilities &amp; Price Slide'!$H$20:$N$23,5, TRUE)</f>
        <v>-9.4798772739497356E-2</v>
      </c>
      <c r="S161" s="78">
        <f>VLOOKUP(P161,'Probabilities &amp; Price Slide'!$H$20:$N$23,6, TRUE)</f>
        <v>-4.7674964197479769E-2</v>
      </c>
      <c r="T161" s="78">
        <f>VLOOKUP(P161,'Probabilities &amp; Price Slide'!$H$20:$N$23,7, TRUE)</f>
        <v>-4.7674964197479769E-2</v>
      </c>
    </row>
    <row r="162" spans="16:20" x14ac:dyDescent="0.3">
      <c r="P162" s="43">
        <v>542</v>
      </c>
      <c r="Q162" s="78">
        <f>VLOOKUP(P162,'Probabilities &amp; Price Slide'!$H$20:$N$23,4, TRUE)</f>
        <v>-0.14247373693697712</v>
      </c>
      <c r="R162" s="78">
        <f>VLOOKUP(P162,'Probabilities &amp; Price Slide'!$H$20:$N$23,5, TRUE)</f>
        <v>-9.4798772739497356E-2</v>
      </c>
      <c r="S162" s="78">
        <f>VLOOKUP(P162,'Probabilities &amp; Price Slide'!$H$20:$N$23,6, TRUE)</f>
        <v>-4.7674964197479769E-2</v>
      </c>
      <c r="T162" s="78">
        <f>VLOOKUP(P162,'Probabilities &amp; Price Slide'!$H$20:$N$23,7, TRUE)</f>
        <v>-4.7674964197479769E-2</v>
      </c>
    </row>
    <row r="163" spans="16:20" x14ac:dyDescent="0.3">
      <c r="P163" s="43">
        <v>543</v>
      </c>
      <c r="Q163" s="78">
        <f>VLOOKUP(P163,'Probabilities &amp; Price Slide'!$H$20:$N$23,4, TRUE)</f>
        <v>-0.14247373693697712</v>
      </c>
      <c r="R163" s="78">
        <f>VLOOKUP(P163,'Probabilities &amp; Price Slide'!$H$20:$N$23,5, TRUE)</f>
        <v>-9.4798772739497356E-2</v>
      </c>
      <c r="S163" s="78">
        <f>VLOOKUP(P163,'Probabilities &amp; Price Slide'!$H$20:$N$23,6, TRUE)</f>
        <v>-4.7674964197479769E-2</v>
      </c>
      <c r="T163" s="78">
        <f>VLOOKUP(P163,'Probabilities &amp; Price Slide'!$H$20:$N$23,7, TRUE)</f>
        <v>-4.7674964197479769E-2</v>
      </c>
    </row>
    <row r="164" spans="16:20" x14ac:dyDescent="0.3">
      <c r="P164" s="43">
        <v>544</v>
      </c>
      <c r="Q164" s="78">
        <f>VLOOKUP(P164,'Probabilities &amp; Price Slide'!$H$20:$N$23,4, TRUE)</f>
        <v>-0.14247373693697712</v>
      </c>
      <c r="R164" s="78">
        <f>VLOOKUP(P164,'Probabilities &amp; Price Slide'!$H$20:$N$23,5, TRUE)</f>
        <v>-9.4798772739497356E-2</v>
      </c>
      <c r="S164" s="78">
        <f>VLOOKUP(P164,'Probabilities &amp; Price Slide'!$H$20:$N$23,6, TRUE)</f>
        <v>-4.7674964197479769E-2</v>
      </c>
      <c r="T164" s="78">
        <f>VLOOKUP(P164,'Probabilities &amp; Price Slide'!$H$20:$N$23,7, TRUE)</f>
        <v>-4.7674964197479769E-2</v>
      </c>
    </row>
    <row r="165" spans="16:20" x14ac:dyDescent="0.3">
      <c r="P165" s="43">
        <v>545</v>
      </c>
      <c r="Q165" s="78">
        <f>VLOOKUP(P165,'Probabilities &amp; Price Slide'!$H$20:$N$23,4, TRUE)</f>
        <v>-0.14247373693697712</v>
      </c>
      <c r="R165" s="78">
        <f>VLOOKUP(P165,'Probabilities &amp; Price Slide'!$H$20:$N$23,5, TRUE)</f>
        <v>-9.4798772739497356E-2</v>
      </c>
      <c r="S165" s="78">
        <f>VLOOKUP(P165,'Probabilities &amp; Price Slide'!$H$20:$N$23,6, TRUE)</f>
        <v>-4.7674964197479769E-2</v>
      </c>
      <c r="T165" s="78">
        <f>VLOOKUP(P165,'Probabilities &amp; Price Slide'!$H$20:$N$23,7, TRUE)</f>
        <v>-4.7674964197479769E-2</v>
      </c>
    </row>
    <row r="166" spans="16:20" x14ac:dyDescent="0.3">
      <c r="P166" s="43">
        <v>546</v>
      </c>
      <c r="Q166" s="78">
        <f>VLOOKUP(P166,'Probabilities &amp; Price Slide'!$H$20:$N$23,4, TRUE)</f>
        <v>-0.14247373693697712</v>
      </c>
      <c r="R166" s="78">
        <f>VLOOKUP(P166,'Probabilities &amp; Price Slide'!$H$20:$N$23,5, TRUE)</f>
        <v>-9.4798772739497356E-2</v>
      </c>
      <c r="S166" s="78">
        <f>VLOOKUP(P166,'Probabilities &amp; Price Slide'!$H$20:$N$23,6, TRUE)</f>
        <v>-4.7674964197479769E-2</v>
      </c>
      <c r="T166" s="78">
        <f>VLOOKUP(P166,'Probabilities &amp; Price Slide'!$H$20:$N$23,7, TRUE)</f>
        <v>-4.7674964197479769E-2</v>
      </c>
    </row>
    <row r="167" spans="16:20" x14ac:dyDescent="0.3">
      <c r="P167" s="43">
        <v>547</v>
      </c>
      <c r="Q167" s="78">
        <f>VLOOKUP(P167,'Probabilities &amp; Price Slide'!$H$20:$N$23,4, TRUE)</f>
        <v>-0.14247373693697712</v>
      </c>
      <c r="R167" s="78">
        <f>VLOOKUP(P167,'Probabilities &amp; Price Slide'!$H$20:$N$23,5, TRUE)</f>
        <v>-9.4798772739497356E-2</v>
      </c>
      <c r="S167" s="78">
        <f>VLOOKUP(P167,'Probabilities &amp; Price Slide'!$H$20:$N$23,6, TRUE)</f>
        <v>-4.7674964197479769E-2</v>
      </c>
      <c r="T167" s="78">
        <f>VLOOKUP(P167,'Probabilities &amp; Price Slide'!$H$20:$N$23,7, TRUE)</f>
        <v>-4.7674964197479769E-2</v>
      </c>
    </row>
    <row r="168" spans="16:20" x14ac:dyDescent="0.3">
      <c r="P168" s="43">
        <v>548</v>
      </c>
      <c r="Q168" s="78">
        <f>VLOOKUP(P168,'Probabilities &amp; Price Slide'!$H$20:$N$23,4, TRUE)</f>
        <v>-0.14247373693697712</v>
      </c>
      <c r="R168" s="78">
        <f>VLOOKUP(P168,'Probabilities &amp; Price Slide'!$H$20:$N$23,5, TRUE)</f>
        <v>-9.4798772739497356E-2</v>
      </c>
      <c r="S168" s="78">
        <f>VLOOKUP(P168,'Probabilities &amp; Price Slide'!$H$20:$N$23,6, TRUE)</f>
        <v>-4.7674964197479769E-2</v>
      </c>
      <c r="T168" s="78">
        <f>VLOOKUP(P168,'Probabilities &amp; Price Slide'!$H$20:$N$23,7, TRUE)</f>
        <v>-4.7674964197479769E-2</v>
      </c>
    </row>
    <row r="169" spans="16:20" x14ac:dyDescent="0.3">
      <c r="P169" s="43">
        <v>549</v>
      </c>
      <c r="Q169" s="78">
        <f>VLOOKUP(P169,'Probabilities &amp; Price Slide'!$H$20:$N$23,4, TRUE)</f>
        <v>-0.14247373693697712</v>
      </c>
      <c r="R169" s="78">
        <f>VLOOKUP(P169,'Probabilities &amp; Price Slide'!$H$20:$N$23,5, TRUE)</f>
        <v>-9.4798772739497356E-2</v>
      </c>
      <c r="S169" s="78">
        <f>VLOOKUP(P169,'Probabilities &amp; Price Slide'!$H$20:$N$23,6, TRUE)</f>
        <v>-4.7674964197479769E-2</v>
      </c>
      <c r="T169" s="78">
        <f>VLOOKUP(P169,'Probabilities &amp; Price Slide'!$H$20:$N$23,7, TRUE)</f>
        <v>-4.7674964197479769E-2</v>
      </c>
    </row>
    <row r="170" spans="16:20" x14ac:dyDescent="0.3">
      <c r="P170" s="43">
        <v>550</v>
      </c>
      <c r="Q170" s="78">
        <f>VLOOKUP(P170,'Probabilities &amp; Price Slide'!$H$20:$N$23,4, TRUE)</f>
        <v>-0.14247373693697712</v>
      </c>
      <c r="R170" s="78">
        <f>VLOOKUP(P170,'Probabilities &amp; Price Slide'!$H$20:$N$23,5, TRUE)</f>
        <v>-9.4798772739497356E-2</v>
      </c>
      <c r="S170" s="78">
        <f>VLOOKUP(P170,'Probabilities &amp; Price Slide'!$H$20:$N$23,6, TRUE)</f>
        <v>-4.7674964197479769E-2</v>
      </c>
      <c r="T170" s="78">
        <f>VLOOKUP(P170,'Probabilities &amp; Price Slide'!$H$20:$N$23,7, TRUE)</f>
        <v>-4.7674964197479769E-2</v>
      </c>
    </row>
    <row r="171" spans="16:20" x14ac:dyDescent="0.3">
      <c r="P171" s="43">
        <v>551</v>
      </c>
      <c r="Q171" s="78">
        <f>VLOOKUP(P171,'Probabilities &amp; Price Slide'!$H$20:$N$23,4, TRUE)</f>
        <v>-0.14247373693697712</v>
      </c>
      <c r="R171" s="78">
        <f>VLOOKUP(P171,'Probabilities &amp; Price Slide'!$H$20:$N$23,5, TRUE)</f>
        <v>-9.4798772739497356E-2</v>
      </c>
      <c r="S171" s="78">
        <f>VLOOKUP(P171,'Probabilities &amp; Price Slide'!$H$20:$N$23,6, TRUE)</f>
        <v>-4.7674964197479769E-2</v>
      </c>
      <c r="T171" s="78">
        <f>VLOOKUP(P171,'Probabilities &amp; Price Slide'!$H$20:$N$23,7, TRUE)</f>
        <v>-4.7674964197479769E-2</v>
      </c>
    </row>
    <row r="172" spans="16:20" x14ac:dyDescent="0.3">
      <c r="P172" s="43">
        <v>552</v>
      </c>
      <c r="Q172" s="78">
        <f>VLOOKUP(P172,'Probabilities &amp; Price Slide'!$H$20:$N$23,4, TRUE)</f>
        <v>-0.14247373693697712</v>
      </c>
      <c r="R172" s="78">
        <f>VLOOKUP(P172,'Probabilities &amp; Price Slide'!$H$20:$N$23,5, TRUE)</f>
        <v>-9.4798772739497356E-2</v>
      </c>
      <c r="S172" s="78">
        <f>VLOOKUP(P172,'Probabilities &amp; Price Slide'!$H$20:$N$23,6, TRUE)</f>
        <v>-4.7674964197479769E-2</v>
      </c>
      <c r="T172" s="78">
        <f>VLOOKUP(P172,'Probabilities &amp; Price Slide'!$H$20:$N$23,7, TRUE)</f>
        <v>-4.7674964197479769E-2</v>
      </c>
    </row>
    <row r="173" spans="16:20" x14ac:dyDescent="0.3">
      <c r="P173" s="43">
        <v>553</v>
      </c>
      <c r="Q173" s="78">
        <f>VLOOKUP(P173,'Probabilities &amp; Price Slide'!$H$20:$N$23,4, TRUE)</f>
        <v>-0.14247373693697712</v>
      </c>
      <c r="R173" s="78">
        <f>VLOOKUP(P173,'Probabilities &amp; Price Slide'!$H$20:$N$23,5, TRUE)</f>
        <v>-9.4798772739497356E-2</v>
      </c>
      <c r="S173" s="78">
        <f>VLOOKUP(P173,'Probabilities &amp; Price Slide'!$H$20:$N$23,6, TRUE)</f>
        <v>-4.7674964197479769E-2</v>
      </c>
      <c r="T173" s="78">
        <f>VLOOKUP(P173,'Probabilities &amp; Price Slide'!$H$20:$N$23,7, TRUE)</f>
        <v>-4.7674964197479769E-2</v>
      </c>
    </row>
    <row r="174" spans="16:20" x14ac:dyDescent="0.3">
      <c r="P174" s="43">
        <v>554</v>
      </c>
      <c r="Q174" s="78">
        <f>VLOOKUP(P174,'Probabilities &amp; Price Slide'!$H$20:$N$23,4, TRUE)</f>
        <v>-0.14247373693697712</v>
      </c>
      <c r="R174" s="78">
        <f>VLOOKUP(P174,'Probabilities &amp; Price Slide'!$H$20:$N$23,5, TRUE)</f>
        <v>-9.4798772739497356E-2</v>
      </c>
      <c r="S174" s="78">
        <f>VLOOKUP(P174,'Probabilities &amp; Price Slide'!$H$20:$N$23,6, TRUE)</f>
        <v>-4.7674964197479769E-2</v>
      </c>
      <c r="T174" s="78">
        <f>VLOOKUP(P174,'Probabilities &amp; Price Slide'!$H$20:$N$23,7, TRUE)</f>
        <v>-4.7674964197479769E-2</v>
      </c>
    </row>
    <row r="175" spans="16:20" x14ac:dyDescent="0.3">
      <c r="P175" s="43">
        <v>555</v>
      </c>
      <c r="Q175" s="78">
        <f>VLOOKUP(P175,'Probabilities &amp; Price Slide'!$H$20:$N$23,4, TRUE)</f>
        <v>-0.14247373693697712</v>
      </c>
      <c r="R175" s="78">
        <f>VLOOKUP(P175,'Probabilities &amp; Price Slide'!$H$20:$N$23,5, TRUE)</f>
        <v>-9.4798772739497356E-2</v>
      </c>
      <c r="S175" s="78">
        <f>VLOOKUP(P175,'Probabilities &amp; Price Slide'!$H$20:$N$23,6, TRUE)</f>
        <v>-4.7674964197479769E-2</v>
      </c>
      <c r="T175" s="78">
        <f>VLOOKUP(P175,'Probabilities &amp; Price Slide'!$H$20:$N$23,7, TRUE)</f>
        <v>-4.7674964197479769E-2</v>
      </c>
    </row>
    <row r="176" spans="16:20" x14ac:dyDescent="0.3">
      <c r="P176" s="43">
        <v>556</v>
      </c>
      <c r="Q176" s="78">
        <f>VLOOKUP(P176,'Probabilities &amp; Price Slide'!$H$20:$N$23,4, TRUE)</f>
        <v>-0.14247373693697712</v>
      </c>
      <c r="R176" s="78">
        <f>VLOOKUP(P176,'Probabilities &amp; Price Slide'!$H$20:$N$23,5, TRUE)</f>
        <v>-9.4798772739497356E-2</v>
      </c>
      <c r="S176" s="78">
        <f>VLOOKUP(P176,'Probabilities &amp; Price Slide'!$H$20:$N$23,6, TRUE)</f>
        <v>-4.7674964197479769E-2</v>
      </c>
      <c r="T176" s="78">
        <f>VLOOKUP(P176,'Probabilities &amp; Price Slide'!$H$20:$N$23,7, TRUE)</f>
        <v>-4.7674964197479769E-2</v>
      </c>
    </row>
    <row r="177" spans="16:20" x14ac:dyDescent="0.3">
      <c r="P177" s="43">
        <v>557</v>
      </c>
      <c r="Q177" s="78">
        <f>VLOOKUP(P177,'Probabilities &amp; Price Slide'!$H$20:$N$23,4, TRUE)</f>
        <v>-0.14247373693697712</v>
      </c>
      <c r="R177" s="78">
        <f>VLOOKUP(P177,'Probabilities &amp; Price Slide'!$H$20:$N$23,5, TRUE)</f>
        <v>-9.4798772739497356E-2</v>
      </c>
      <c r="S177" s="78">
        <f>VLOOKUP(P177,'Probabilities &amp; Price Slide'!$H$20:$N$23,6, TRUE)</f>
        <v>-4.7674964197479769E-2</v>
      </c>
      <c r="T177" s="78">
        <f>VLOOKUP(P177,'Probabilities &amp; Price Slide'!$H$20:$N$23,7, TRUE)</f>
        <v>-4.7674964197479769E-2</v>
      </c>
    </row>
    <row r="178" spans="16:20" x14ac:dyDescent="0.3">
      <c r="P178" s="43">
        <v>558</v>
      </c>
      <c r="Q178" s="78">
        <f>VLOOKUP(P178,'Probabilities &amp; Price Slide'!$H$20:$N$23,4, TRUE)</f>
        <v>-0.14247373693697712</v>
      </c>
      <c r="R178" s="78">
        <f>VLOOKUP(P178,'Probabilities &amp; Price Slide'!$H$20:$N$23,5, TRUE)</f>
        <v>-9.4798772739497356E-2</v>
      </c>
      <c r="S178" s="78">
        <f>VLOOKUP(P178,'Probabilities &amp; Price Slide'!$H$20:$N$23,6, TRUE)</f>
        <v>-4.7674964197479769E-2</v>
      </c>
      <c r="T178" s="78">
        <f>VLOOKUP(P178,'Probabilities &amp; Price Slide'!$H$20:$N$23,7, TRUE)</f>
        <v>-4.7674964197479769E-2</v>
      </c>
    </row>
    <row r="179" spans="16:20" x14ac:dyDescent="0.3">
      <c r="P179" s="43">
        <v>559</v>
      </c>
      <c r="Q179" s="78">
        <f>VLOOKUP(P179,'Probabilities &amp; Price Slide'!$H$20:$N$23,4, TRUE)</f>
        <v>-0.14247373693697712</v>
      </c>
      <c r="R179" s="78">
        <f>VLOOKUP(P179,'Probabilities &amp; Price Slide'!$H$20:$N$23,5, TRUE)</f>
        <v>-9.4798772739497356E-2</v>
      </c>
      <c r="S179" s="78">
        <f>VLOOKUP(P179,'Probabilities &amp; Price Slide'!$H$20:$N$23,6, TRUE)</f>
        <v>-4.7674964197479769E-2</v>
      </c>
      <c r="T179" s="78">
        <f>VLOOKUP(P179,'Probabilities &amp; Price Slide'!$H$20:$N$23,7, TRUE)</f>
        <v>-4.7674964197479769E-2</v>
      </c>
    </row>
    <row r="180" spans="16:20" x14ac:dyDescent="0.3">
      <c r="P180" s="43">
        <v>560</v>
      </c>
      <c r="Q180" s="78">
        <f>VLOOKUP(P180,'Probabilities &amp; Price Slide'!$H$20:$N$23,4, TRUE)</f>
        <v>-0.14247373693697712</v>
      </c>
      <c r="R180" s="78">
        <f>VLOOKUP(P180,'Probabilities &amp; Price Slide'!$H$20:$N$23,5, TRUE)</f>
        <v>-9.4798772739497356E-2</v>
      </c>
      <c r="S180" s="78">
        <f>VLOOKUP(P180,'Probabilities &amp; Price Slide'!$H$20:$N$23,6, TRUE)</f>
        <v>-4.7674964197479769E-2</v>
      </c>
      <c r="T180" s="78">
        <f>VLOOKUP(P180,'Probabilities &amp; Price Slide'!$H$20:$N$23,7, TRUE)</f>
        <v>-4.7674964197479769E-2</v>
      </c>
    </row>
    <row r="181" spans="16:20" x14ac:dyDescent="0.3">
      <c r="P181" s="43">
        <v>561</v>
      </c>
      <c r="Q181" s="78">
        <f>VLOOKUP(P181,'Probabilities &amp; Price Slide'!$H$20:$N$23,4, TRUE)</f>
        <v>-0.14247373693697712</v>
      </c>
      <c r="R181" s="78">
        <f>VLOOKUP(P181,'Probabilities &amp; Price Slide'!$H$20:$N$23,5, TRUE)</f>
        <v>-9.4798772739497356E-2</v>
      </c>
      <c r="S181" s="78">
        <f>VLOOKUP(P181,'Probabilities &amp; Price Slide'!$H$20:$N$23,6, TRUE)</f>
        <v>-4.7674964197479769E-2</v>
      </c>
      <c r="T181" s="78">
        <f>VLOOKUP(P181,'Probabilities &amp; Price Slide'!$H$20:$N$23,7, TRUE)</f>
        <v>-4.7674964197479769E-2</v>
      </c>
    </row>
    <row r="182" spans="16:20" x14ac:dyDescent="0.3">
      <c r="P182" s="43">
        <v>562</v>
      </c>
      <c r="Q182" s="78">
        <f>VLOOKUP(P182,'Probabilities &amp; Price Slide'!$H$20:$N$23,4, TRUE)</f>
        <v>-0.14247373693697712</v>
      </c>
      <c r="R182" s="78">
        <f>VLOOKUP(P182,'Probabilities &amp; Price Slide'!$H$20:$N$23,5, TRUE)</f>
        <v>-9.4798772739497356E-2</v>
      </c>
      <c r="S182" s="78">
        <f>VLOOKUP(P182,'Probabilities &amp; Price Slide'!$H$20:$N$23,6, TRUE)</f>
        <v>-4.7674964197479769E-2</v>
      </c>
      <c r="T182" s="78">
        <f>VLOOKUP(P182,'Probabilities &amp; Price Slide'!$H$20:$N$23,7, TRUE)</f>
        <v>-4.7674964197479769E-2</v>
      </c>
    </row>
    <row r="183" spans="16:20" x14ac:dyDescent="0.3">
      <c r="P183" s="43">
        <v>563</v>
      </c>
      <c r="Q183" s="78">
        <f>VLOOKUP(P183,'Probabilities &amp; Price Slide'!$H$20:$N$23,4, TRUE)</f>
        <v>-0.14247373693697712</v>
      </c>
      <c r="R183" s="78">
        <f>VLOOKUP(P183,'Probabilities &amp; Price Slide'!$H$20:$N$23,5, TRUE)</f>
        <v>-9.4798772739497356E-2</v>
      </c>
      <c r="S183" s="78">
        <f>VLOOKUP(P183,'Probabilities &amp; Price Slide'!$H$20:$N$23,6, TRUE)</f>
        <v>-4.7674964197479769E-2</v>
      </c>
      <c r="T183" s="78">
        <f>VLOOKUP(P183,'Probabilities &amp; Price Slide'!$H$20:$N$23,7, TRUE)</f>
        <v>-4.7674964197479769E-2</v>
      </c>
    </row>
    <row r="184" spans="16:20" x14ac:dyDescent="0.3">
      <c r="P184" s="43">
        <v>564</v>
      </c>
      <c r="Q184" s="78">
        <f>VLOOKUP(P184,'Probabilities &amp; Price Slide'!$H$20:$N$23,4, TRUE)</f>
        <v>-0.14247373693697712</v>
      </c>
      <c r="R184" s="78">
        <f>VLOOKUP(P184,'Probabilities &amp; Price Slide'!$H$20:$N$23,5, TRUE)</f>
        <v>-9.4798772739497356E-2</v>
      </c>
      <c r="S184" s="78">
        <f>VLOOKUP(P184,'Probabilities &amp; Price Slide'!$H$20:$N$23,6, TRUE)</f>
        <v>-4.7674964197479769E-2</v>
      </c>
      <c r="T184" s="78">
        <f>VLOOKUP(P184,'Probabilities &amp; Price Slide'!$H$20:$N$23,7, TRUE)</f>
        <v>-4.7674964197479769E-2</v>
      </c>
    </row>
    <row r="185" spans="16:20" x14ac:dyDescent="0.3">
      <c r="P185" s="43">
        <v>565</v>
      </c>
      <c r="Q185" s="78">
        <f>VLOOKUP(P185,'Probabilities &amp; Price Slide'!$H$20:$N$23,4, TRUE)</f>
        <v>-0.14247373693697712</v>
      </c>
      <c r="R185" s="78">
        <f>VLOOKUP(P185,'Probabilities &amp; Price Slide'!$H$20:$N$23,5, TRUE)</f>
        <v>-9.4798772739497356E-2</v>
      </c>
      <c r="S185" s="78">
        <f>VLOOKUP(P185,'Probabilities &amp; Price Slide'!$H$20:$N$23,6, TRUE)</f>
        <v>-4.7674964197479769E-2</v>
      </c>
      <c r="T185" s="78">
        <f>VLOOKUP(P185,'Probabilities &amp; Price Slide'!$H$20:$N$23,7, TRUE)</f>
        <v>-4.7674964197479769E-2</v>
      </c>
    </row>
    <row r="186" spans="16:20" x14ac:dyDescent="0.3">
      <c r="P186" s="43">
        <v>566</v>
      </c>
      <c r="Q186" s="78">
        <f>VLOOKUP(P186,'Probabilities &amp; Price Slide'!$H$20:$N$23,4, TRUE)</f>
        <v>-0.14247373693697712</v>
      </c>
      <c r="R186" s="78">
        <f>VLOOKUP(P186,'Probabilities &amp; Price Slide'!$H$20:$N$23,5, TRUE)</f>
        <v>-9.4798772739497356E-2</v>
      </c>
      <c r="S186" s="78">
        <f>VLOOKUP(P186,'Probabilities &amp; Price Slide'!$H$20:$N$23,6, TRUE)</f>
        <v>-4.7674964197479769E-2</v>
      </c>
      <c r="T186" s="78">
        <f>VLOOKUP(P186,'Probabilities &amp; Price Slide'!$H$20:$N$23,7, TRUE)</f>
        <v>-4.7674964197479769E-2</v>
      </c>
    </row>
    <row r="187" spans="16:20" x14ac:dyDescent="0.3">
      <c r="P187" s="43">
        <v>567</v>
      </c>
      <c r="Q187" s="78">
        <f>VLOOKUP(P187,'Probabilities &amp; Price Slide'!$H$20:$N$23,4, TRUE)</f>
        <v>-0.14247373693697712</v>
      </c>
      <c r="R187" s="78">
        <f>VLOOKUP(P187,'Probabilities &amp; Price Slide'!$H$20:$N$23,5, TRUE)</f>
        <v>-9.4798772739497356E-2</v>
      </c>
      <c r="S187" s="78">
        <f>VLOOKUP(P187,'Probabilities &amp; Price Slide'!$H$20:$N$23,6, TRUE)</f>
        <v>-4.7674964197479769E-2</v>
      </c>
      <c r="T187" s="78">
        <f>VLOOKUP(P187,'Probabilities &amp; Price Slide'!$H$20:$N$23,7, TRUE)</f>
        <v>-4.7674964197479769E-2</v>
      </c>
    </row>
    <row r="188" spans="16:20" x14ac:dyDescent="0.3">
      <c r="P188" s="43">
        <v>568</v>
      </c>
      <c r="Q188" s="78">
        <f>VLOOKUP(P188,'Probabilities &amp; Price Slide'!$H$20:$N$23,4, TRUE)</f>
        <v>-0.14247373693697712</v>
      </c>
      <c r="R188" s="78">
        <f>VLOOKUP(P188,'Probabilities &amp; Price Slide'!$H$20:$N$23,5, TRUE)</f>
        <v>-9.4798772739497356E-2</v>
      </c>
      <c r="S188" s="78">
        <f>VLOOKUP(P188,'Probabilities &amp; Price Slide'!$H$20:$N$23,6, TRUE)</f>
        <v>-4.7674964197479769E-2</v>
      </c>
      <c r="T188" s="78">
        <f>VLOOKUP(P188,'Probabilities &amp; Price Slide'!$H$20:$N$23,7, TRUE)</f>
        <v>-4.7674964197479769E-2</v>
      </c>
    </row>
    <row r="189" spans="16:20" x14ac:dyDescent="0.3">
      <c r="P189" s="43">
        <v>569</v>
      </c>
      <c r="Q189" s="78">
        <f>VLOOKUP(P189,'Probabilities &amp; Price Slide'!$H$20:$N$23,4, TRUE)</f>
        <v>-0.14247373693697712</v>
      </c>
      <c r="R189" s="78">
        <f>VLOOKUP(P189,'Probabilities &amp; Price Slide'!$H$20:$N$23,5, TRUE)</f>
        <v>-9.4798772739497356E-2</v>
      </c>
      <c r="S189" s="78">
        <f>VLOOKUP(P189,'Probabilities &amp; Price Slide'!$H$20:$N$23,6, TRUE)</f>
        <v>-4.7674964197479769E-2</v>
      </c>
      <c r="T189" s="78">
        <f>VLOOKUP(P189,'Probabilities &amp; Price Slide'!$H$20:$N$23,7, TRUE)</f>
        <v>-4.7674964197479769E-2</v>
      </c>
    </row>
    <row r="190" spans="16:20" x14ac:dyDescent="0.3">
      <c r="P190" s="43">
        <v>570</v>
      </c>
      <c r="Q190" s="78">
        <f>VLOOKUP(P190,'Probabilities &amp; Price Slide'!$H$20:$N$23,4, TRUE)</f>
        <v>-0.14247373693697712</v>
      </c>
      <c r="R190" s="78">
        <f>VLOOKUP(P190,'Probabilities &amp; Price Slide'!$H$20:$N$23,5, TRUE)</f>
        <v>-9.4798772739497356E-2</v>
      </c>
      <c r="S190" s="78">
        <f>VLOOKUP(P190,'Probabilities &amp; Price Slide'!$H$20:$N$23,6, TRUE)</f>
        <v>-4.7674964197479769E-2</v>
      </c>
      <c r="T190" s="78">
        <f>VLOOKUP(P190,'Probabilities &amp; Price Slide'!$H$20:$N$23,7, TRUE)</f>
        <v>-4.7674964197479769E-2</v>
      </c>
    </row>
    <row r="191" spans="16:20" x14ac:dyDescent="0.3">
      <c r="P191" s="43">
        <v>571</v>
      </c>
      <c r="Q191" s="78">
        <f>VLOOKUP(P191,'Probabilities &amp; Price Slide'!$H$20:$N$23,4, TRUE)</f>
        <v>-0.14247373693697712</v>
      </c>
      <c r="R191" s="78">
        <f>VLOOKUP(P191,'Probabilities &amp; Price Slide'!$H$20:$N$23,5, TRUE)</f>
        <v>-9.4798772739497356E-2</v>
      </c>
      <c r="S191" s="78">
        <f>VLOOKUP(P191,'Probabilities &amp; Price Slide'!$H$20:$N$23,6, TRUE)</f>
        <v>-4.7674964197479769E-2</v>
      </c>
      <c r="T191" s="78">
        <f>VLOOKUP(P191,'Probabilities &amp; Price Slide'!$H$20:$N$23,7, TRUE)</f>
        <v>-4.7674964197479769E-2</v>
      </c>
    </row>
    <row r="192" spans="16:20" x14ac:dyDescent="0.3">
      <c r="P192" s="43">
        <v>572</v>
      </c>
      <c r="Q192" s="78">
        <f>VLOOKUP(P192,'Probabilities &amp; Price Slide'!$H$20:$N$23,4, TRUE)</f>
        <v>-0.14247373693697712</v>
      </c>
      <c r="R192" s="78">
        <f>VLOOKUP(P192,'Probabilities &amp; Price Slide'!$H$20:$N$23,5, TRUE)</f>
        <v>-9.4798772739497356E-2</v>
      </c>
      <c r="S192" s="78">
        <f>VLOOKUP(P192,'Probabilities &amp; Price Slide'!$H$20:$N$23,6, TRUE)</f>
        <v>-4.7674964197479769E-2</v>
      </c>
      <c r="T192" s="78">
        <f>VLOOKUP(P192,'Probabilities &amp; Price Slide'!$H$20:$N$23,7, TRUE)</f>
        <v>-4.7674964197479769E-2</v>
      </c>
    </row>
    <row r="193" spans="16:20" x14ac:dyDescent="0.3">
      <c r="P193" s="43">
        <v>573</v>
      </c>
      <c r="Q193" s="78">
        <f>VLOOKUP(P193,'Probabilities &amp; Price Slide'!$H$20:$N$23,4, TRUE)</f>
        <v>-0.14247373693697712</v>
      </c>
      <c r="R193" s="78">
        <f>VLOOKUP(P193,'Probabilities &amp; Price Slide'!$H$20:$N$23,5, TRUE)</f>
        <v>-9.4798772739497356E-2</v>
      </c>
      <c r="S193" s="78">
        <f>VLOOKUP(P193,'Probabilities &amp; Price Slide'!$H$20:$N$23,6, TRUE)</f>
        <v>-4.7674964197479769E-2</v>
      </c>
      <c r="T193" s="78">
        <f>VLOOKUP(P193,'Probabilities &amp; Price Slide'!$H$20:$N$23,7, TRUE)</f>
        <v>-4.7674964197479769E-2</v>
      </c>
    </row>
    <row r="194" spans="16:20" x14ac:dyDescent="0.3">
      <c r="P194" s="43">
        <v>574</v>
      </c>
      <c r="Q194" s="78">
        <f>VLOOKUP(P194,'Probabilities &amp; Price Slide'!$H$20:$N$23,4, TRUE)</f>
        <v>-0.14247373693697712</v>
      </c>
      <c r="R194" s="78">
        <f>VLOOKUP(P194,'Probabilities &amp; Price Slide'!$H$20:$N$23,5, TRUE)</f>
        <v>-9.4798772739497356E-2</v>
      </c>
      <c r="S194" s="78">
        <f>VLOOKUP(P194,'Probabilities &amp; Price Slide'!$H$20:$N$23,6, TRUE)</f>
        <v>-4.7674964197479769E-2</v>
      </c>
      <c r="T194" s="78">
        <f>VLOOKUP(P194,'Probabilities &amp; Price Slide'!$H$20:$N$23,7, TRUE)</f>
        <v>-4.7674964197479769E-2</v>
      </c>
    </row>
    <row r="195" spans="16:20" x14ac:dyDescent="0.3">
      <c r="P195" s="43">
        <v>575</v>
      </c>
      <c r="Q195" s="78">
        <f>VLOOKUP(P195,'Probabilities &amp; Price Slide'!$H$20:$N$23,4, TRUE)</f>
        <v>-0.14247373693697712</v>
      </c>
      <c r="R195" s="78">
        <f>VLOOKUP(P195,'Probabilities &amp; Price Slide'!$H$20:$N$23,5, TRUE)</f>
        <v>-9.4798772739497356E-2</v>
      </c>
      <c r="S195" s="78">
        <f>VLOOKUP(P195,'Probabilities &amp; Price Slide'!$H$20:$N$23,6, TRUE)</f>
        <v>-4.7674964197479769E-2</v>
      </c>
      <c r="T195" s="78">
        <f>VLOOKUP(P195,'Probabilities &amp; Price Slide'!$H$20:$N$23,7, TRUE)</f>
        <v>-4.7674964197479769E-2</v>
      </c>
    </row>
    <row r="196" spans="16:20" x14ac:dyDescent="0.3">
      <c r="P196" s="43">
        <v>576</v>
      </c>
      <c r="Q196" s="78">
        <f>VLOOKUP(P196,'Probabilities &amp; Price Slide'!$H$20:$N$23,4, TRUE)</f>
        <v>-0.14247373693697712</v>
      </c>
      <c r="R196" s="78">
        <f>VLOOKUP(P196,'Probabilities &amp; Price Slide'!$H$20:$N$23,5, TRUE)</f>
        <v>-9.4798772739497356E-2</v>
      </c>
      <c r="S196" s="78">
        <f>VLOOKUP(P196,'Probabilities &amp; Price Slide'!$H$20:$N$23,6, TRUE)</f>
        <v>-4.7674964197479769E-2</v>
      </c>
      <c r="T196" s="78">
        <f>VLOOKUP(P196,'Probabilities &amp; Price Slide'!$H$20:$N$23,7, TRUE)</f>
        <v>-4.7674964197479769E-2</v>
      </c>
    </row>
    <row r="197" spans="16:20" x14ac:dyDescent="0.3">
      <c r="P197" s="43">
        <v>577</v>
      </c>
      <c r="Q197" s="78">
        <f>VLOOKUP(P197,'Probabilities &amp; Price Slide'!$H$20:$N$23,4, TRUE)</f>
        <v>-0.14247373693697712</v>
      </c>
      <c r="R197" s="78">
        <f>VLOOKUP(P197,'Probabilities &amp; Price Slide'!$H$20:$N$23,5, TRUE)</f>
        <v>-9.4798772739497356E-2</v>
      </c>
      <c r="S197" s="78">
        <f>VLOOKUP(P197,'Probabilities &amp; Price Slide'!$H$20:$N$23,6, TRUE)</f>
        <v>-4.7674964197479769E-2</v>
      </c>
      <c r="T197" s="78">
        <f>VLOOKUP(P197,'Probabilities &amp; Price Slide'!$H$20:$N$23,7, TRUE)</f>
        <v>-4.7674964197479769E-2</v>
      </c>
    </row>
    <row r="198" spans="16:20" x14ac:dyDescent="0.3">
      <c r="P198" s="43">
        <v>578</v>
      </c>
      <c r="Q198" s="78">
        <f>VLOOKUP(P198,'Probabilities &amp; Price Slide'!$H$20:$N$23,4, TRUE)</f>
        <v>-0.14247373693697712</v>
      </c>
      <c r="R198" s="78">
        <f>VLOOKUP(P198,'Probabilities &amp; Price Slide'!$H$20:$N$23,5, TRUE)</f>
        <v>-9.4798772739497356E-2</v>
      </c>
      <c r="S198" s="78">
        <f>VLOOKUP(P198,'Probabilities &amp; Price Slide'!$H$20:$N$23,6, TRUE)</f>
        <v>-4.7674964197479769E-2</v>
      </c>
      <c r="T198" s="78">
        <f>VLOOKUP(P198,'Probabilities &amp; Price Slide'!$H$20:$N$23,7, TRUE)</f>
        <v>-4.7674964197479769E-2</v>
      </c>
    </row>
    <row r="199" spans="16:20" x14ac:dyDescent="0.3">
      <c r="P199" s="43">
        <v>579</v>
      </c>
      <c r="Q199" s="78">
        <f>VLOOKUP(P199,'Probabilities &amp; Price Slide'!$H$20:$N$23,4, TRUE)</f>
        <v>-0.14247373693697712</v>
      </c>
      <c r="R199" s="78">
        <f>VLOOKUP(P199,'Probabilities &amp; Price Slide'!$H$20:$N$23,5, TRUE)</f>
        <v>-9.4798772739497356E-2</v>
      </c>
      <c r="S199" s="78">
        <f>VLOOKUP(P199,'Probabilities &amp; Price Slide'!$H$20:$N$23,6, TRUE)</f>
        <v>-4.7674964197479769E-2</v>
      </c>
      <c r="T199" s="78">
        <f>VLOOKUP(P199,'Probabilities &amp; Price Slide'!$H$20:$N$23,7, TRUE)</f>
        <v>-4.7674964197479769E-2</v>
      </c>
    </row>
    <row r="200" spans="16:20" x14ac:dyDescent="0.3">
      <c r="P200" s="43">
        <v>580</v>
      </c>
      <c r="Q200" s="78">
        <f>VLOOKUP(P200,'Probabilities &amp; Price Slide'!$H$20:$N$23,4, TRUE)</f>
        <v>-0.14247373693697712</v>
      </c>
      <c r="R200" s="78">
        <f>VLOOKUP(P200,'Probabilities &amp; Price Slide'!$H$20:$N$23,5, TRUE)</f>
        <v>-9.4798772739497356E-2</v>
      </c>
      <c r="S200" s="78">
        <f>VLOOKUP(P200,'Probabilities &amp; Price Slide'!$H$20:$N$23,6, TRUE)</f>
        <v>-4.7674964197479769E-2</v>
      </c>
      <c r="T200" s="78">
        <f>VLOOKUP(P200,'Probabilities &amp; Price Slide'!$H$20:$N$23,7, TRUE)</f>
        <v>-4.7674964197479769E-2</v>
      </c>
    </row>
    <row r="201" spans="16:20" x14ac:dyDescent="0.3">
      <c r="P201" s="43">
        <v>581</v>
      </c>
      <c r="Q201" s="78">
        <f>VLOOKUP(P201,'Probabilities &amp; Price Slide'!$H$20:$N$23,4, TRUE)</f>
        <v>-0.14247373693697712</v>
      </c>
      <c r="R201" s="78">
        <f>VLOOKUP(P201,'Probabilities &amp; Price Slide'!$H$20:$N$23,5, TRUE)</f>
        <v>-9.4798772739497356E-2</v>
      </c>
      <c r="S201" s="78">
        <f>VLOOKUP(P201,'Probabilities &amp; Price Slide'!$H$20:$N$23,6, TRUE)</f>
        <v>-4.7674964197479769E-2</v>
      </c>
      <c r="T201" s="78">
        <f>VLOOKUP(P201,'Probabilities &amp; Price Slide'!$H$20:$N$23,7, TRUE)</f>
        <v>-4.7674964197479769E-2</v>
      </c>
    </row>
    <row r="202" spans="16:20" x14ac:dyDescent="0.3">
      <c r="P202" s="43">
        <v>582</v>
      </c>
      <c r="Q202" s="78">
        <f>VLOOKUP(P202,'Probabilities &amp; Price Slide'!$H$20:$N$23,4, TRUE)</f>
        <v>-0.14247373693697712</v>
      </c>
      <c r="R202" s="78">
        <f>VLOOKUP(P202,'Probabilities &amp; Price Slide'!$H$20:$N$23,5, TRUE)</f>
        <v>-9.4798772739497356E-2</v>
      </c>
      <c r="S202" s="78">
        <f>VLOOKUP(P202,'Probabilities &amp; Price Slide'!$H$20:$N$23,6, TRUE)</f>
        <v>-4.7674964197479769E-2</v>
      </c>
      <c r="T202" s="78">
        <f>VLOOKUP(P202,'Probabilities &amp; Price Slide'!$H$20:$N$23,7, TRUE)</f>
        <v>-4.7674964197479769E-2</v>
      </c>
    </row>
    <row r="203" spans="16:20" x14ac:dyDescent="0.3">
      <c r="P203" s="43">
        <v>583</v>
      </c>
      <c r="Q203" s="78">
        <f>VLOOKUP(P203,'Probabilities &amp; Price Slide'!$H$20:$N$23,4, TRUE)</f>
        <v>-0.14247373693697712</v>
      </c>
      <c r="R203" s="78">
        <f>VLOOKUP(P203,'Probabilities &amp; Price Slide'!$H$20:$N$23,5, TRUE)</f>
        <v>-9.4798772739497356E-2</v>
      </c>
      <c r="S203" s="78">
        <f>VLOOKUP(P203,'Probabilities &amp; Price Slide'!$H$20:$N$23,6, TRUE)</f>
        <v>-4.7674964197479769E-2</v>
      </c>
      <c r="T203" s="78">
        <f>VLOOKUP(P203,'Probabilities &amp; Price Slide'!$H$20:$N$23,7, TRUE)</f>
        <v>-4.7674964197479769E-2</v>
      </c>
    </row>
    <row r="204" spans="16:20" x14ac:dyDescent="0.3">
      <c r="P204" s="43">
        <v>584</v>
      </c>
      <c r="Q204" s="78">
        <f>VLOOKUP(P204,'Probabilities &amp; Price Slide'!$H$20:$N$23,4, TRUE)</f>
        <v>-0.14247373693697712</v>
      </c>
      <c r="R204" s="78">
        <f>VLOOKUP(P204,'Probabilities &amp; Price Slide'!$H$20:$N$23,5, TRUE)</f>
        <v>-9.4798772739497356E-2</v>
      </c>
      <c r="S204" s="78">
        <f>VLOOKUP(P204,'Probabilities &amp; Price Slide'!$H$20:$N$23,6, TRUE)</f>
        <v>-4.7674964197479769E-2</v>
      </c>
      <c r="T204" s="78">
        <f>VLOOKUP(P204,'Probabilities &amp; Price Slide'!$H$20:$N$23,7, TRUE)</f>
        <v>-4.7674964197479769E-2</v>
      </c>
    </row>
    <row r="205" spans="16:20" x14ac:dyDescent="0.3">
      <c r="P205" s="43">
        <v>585</v>
      </c>
      <c r="Q205" s="78">
        <f>VLOOKUP(P205,'Probabilities &amp; Price Slide'!$H$20:$N$23,4, TRUE)</f>
        <v>-0.14247373693697712</v>
      </c>
      <c r="R205" s="78">
        <f>VLOOKUP(P205,'Probabilities &amp; Price Slide'!$H$20:$N$23,5, TRUE)</f>
        <v>-9.4798772739497356E-2</v>
      </c>
      <c r="S205" s="78">
        <f>VLOOKUP(P205,'Probabilities &amp; Price Slide'!$H$20:$N$23,6, TRUE)</f>
        <v>-4.7674964197479769E-2</v>
      </c>
      <c r="T205" s="78">
        <f>VLOOKUP(P205,'Probabilities &amp; Price Slide'!$H$20:$N$23,7, TRUE)</f>
        <v>-4.7674964197479769E-2</v>
      </c>
    </row>
    <row r="206" spans="16:20" x14ac:dyDescent="0.3">
      <c r="P206" s="43">
        <v>586</v>
      </c>
      <c r="Q206" s="78">
        <f>VLOOKUP(P206,'Probabilities &amp; Price Slide'!$H$20:$N$23,4, TRUE)</f>
        <v>-0.14247373693697712</v>
      </c>
      <c r="R206" s="78">
        <f>VLOOKUP(P206,'Probabilities &amp; Price Slide'!$H$20:$N$23,5, TRUE)</f>
        <v>-9.4798772739497356E-2</v>
      </c>
      <c r="S206" s="78">
        <f>VLOOKUP(P206,'Probabilities &amp; Price Slide'!$H$20:$N$23,6, TRUE)</f>
        <v>-4.7674964197479769E-2</v>
      </c>
      <c r="T206" s="78">
        <f>VLOOKUP(P206,'Probabilities &amp; Price Slide'!$H$20:$N$23,7, TRUE)</f>
        <v>-4.7674964197479769E-2</v>
      </c>
    </row>
    <row r="207" spans="16:20" x14ac:dyDescent="0.3">
      <c r="P207" s="43">
        <v>587</v>
      </c>
      <c r="Q207" s="78">
        <f>VLOOKUP(P207,'Probabilities &amp; Price Slide'!$H$20:$N$23,4, TRUE)</f>
        <v>-0.14247373693697712</v>
      </c>
      <c r="R207" s="78">
        <f>VLOOKUP(P207,'Probabilities &amp; Price Slide'!$H$20:$N$23,5, TRUE)</f>
        <v>-9.4798772739497356E-2</v>
      </c>
      <c r="S207" s="78">
        <f>VLOOKUP(P207,'Probabilities &amp; Price Slide'!$H$20:$N$23,6, TRUE)</f>
        <v>-4.7674964197479769E-2</v>
      </c>
      <c r="T207" s="78">
        <f>VLOOKUP(P207,'Probabilities &amp; Price Slide'!$H$20:$N$23,7, TRUE)</f>
        <v>-4.7674964197479769E-2</v>
      </c>
    </row>
    <row r="208" spans="16:20" x14ac:dyDescent="0.3">
      <c r="P208" s="43">
        <v>588</v>
      </c>
      <c r="Q208" s="78">
        <f>VLOOKUP(P208,'Probabilities &amp; Price Slide'!$H$20:$N$23,4, TRUE)</f>
        <v>-0.14247373693697712</v>
      </c>
      <c r="R208" s="78">
        <f>VLOOKUP(P208,'Probabilities &amp; Price Slide'!$H$20:$N$23,5, TRUE)</f>
        <v>-9.4798772739497356E-2</v>
      </c>
      <c r="S208" s="78">
        <f>VLOOKUP(P208,'Probabilities &amp; Price Slide'!$H$20:$N$23,6, TRUE)</f>
        <v>-4.7674964197479769E-2</v>
      </c>
      <c r="T208" s="78">
        <f>VLOOKUP(P208,'Probabilities &amp; Price Slide'!$H$20:$N$23,7, TRUE)</f>
        <v>-4.7674964197479769E-2</v>
      </c>
    </row>
    <row r="209" spans="16:20" x14ac:dyDescent="0.3">
      <c r="P209" s="43">
        <v>589</v>
      </c>
      <c r="Q209" s="78">
        <f>VLOOKUP(P209,'Probabilities &amp; Price Slide'!$H$20:$N$23,4, TRUE)</f>
        <v>-0.14247373693697712</v>
      </c>
      <c r="R209" s="78">
        <f>VLOOKUP(P209,'Probabilities &amp; Price Slide'!$H$20:$N$23,5, TRUE)</f>
        <v>-9.4798772739497356E-2</v>
      </c>
      <c r="S209" s="78">
        <f>VLOOKUP(P209,'Probabilities &amp; Price Slide'!$H$20:$N$23,6, TRUE)</f>
        <v>-4.7674964197479769E-2</v>
      </c>
      <c r="T209" s="78">
        <f>VLOOKUP(P209,'Probabilities &amp; Price Slide'!$H$20:$N$23,7, TRUE)</f>
        <v>-4.7674964197479769E-2</v>
      </c>
    </row>
    <row r="210" spans="16:20" x14ac:dyDescent="0.3">
      <c r="P210" s="43">
        <v>590</v>
      </c>
      <c r="Q210" s="78">
        <f>VLOOKUP(P210,'Probabilities &amp; Price Slide'!$H$20:$N$23,4, TRUE)</f>
        <v>-0.14247373693697712</v>
      </c>
      <c r="R210" s="78">
        <f>VLOOKUP(P210,'Probabilities &amp; Price Slide'!$H$20:$N$23,5, TRUE)</f>
        <v>-9.4798772739497356E-2</v>
      </c>
      <c r="S210" s="78">
        <f>VLOOKUP(P210,'Probabilities &amp; Price Slide'!$H$20:$N$23,6, TRUE)</f>
        <v>-4.7674964197479769E-2</v>
      </c>
      <c r="T210" s="78">
        <f>VLOOKUP(P210,'Probabilities &amp; Price Slide'!$H$20:$N$23,7, TRUE)</f>
        <v>-4.7674964197479769E-2</v>
      </c>
    </row>
    <row r="211" spans="16:20" x14ac:dyDescent="0.3">
      <c r="P211" s="43">
        <v>591</v>
      </c>
      <c r="Q211" s="78">
        <f>VLOOKUP(P211,'Probabilities &amp; Price Slide'!$H$20:$N$23,4, TRUE)</f>
        <v>-0.14247373693697712</v>
      </c>
      <c r="R211" s="78">
        <f>VLOOKUP(P211,'Probabilities &amp; Price Slide'!$H$20:$N$23,5, TRUE)</f>
        <v>-9.4798772739497356E-2</v>
      </c>
      <c r="S211" s="78">
        <f>VLOOKUP(P211,'Probabilities &amp; Price Slide'!$H$20:$N$23,6, TRUE)</f>
        <v>-4.7674964197479769E-2</v>
      </c>
      <c r="T211" s="78">
        <f>VLOOKUP(P211,'Probabilities &amp; Price Slide'!$H$20:$N$23,7, TRUE)</f>
        <v>-4.7674964197479769E-2</v>
      </c>
    </row>
    <row r="212" spans="16:20" x14ac:dyDescent="0.3">
      <c r="P212" s="43">
        <v>592</v>
      </c>
      <c r="Q212" s="78">
        <f>VLOOKUP(P212,'Probabilities &amp; Price Slide'!$H$20:$N$23,4, TRUE)</f>
        <v>-0.14247373693697712</v>
      </c>
      <c r="R212" s="78">
        <f>VLOOKUP(P212,'Probabilities &amp; Price Slide'!$H$20:$N$23,5, TRUE)</f>
        <v>-9.4798772739497356E-2</v>
      </c>
      <c r="S212" s="78">
        <f>VLOOKUP(P212,'Probabilities &amp; Price Slide'!$H$20:$N$23,6, TRUE)</f>
        <v>-4.7674964197479769E-2</v>
      </c>
      <c r="T212" s="78">
        <f>VLOOKUP(P212,'Probabilities &amp; Price Slide'!$H$20:$N$23,7, TRUE)</f>
        <v>-4.7674964197479769E-2</v>
      </c>
    </row>
    <row r="213" spans="16:20" x14ac:dyDescent="0.3">
      <c r="P213" s="43">
        <v>593</v>
      </c>
      <c r="Q213" s="78">
        <f>VLOOKUP(P213,'Probabilities &amp; Price Slide'!$H$20:$N$23,4, TRUE)</f>
        <v>-0.14247373693697712</v>
      </c>
      <c r="R213" s="78">
        <f>VLOOKUP(P213,'Probabilities &amp; Price Slide'!$H$20:$N$23,5, TRUE)</f>
        <v>-9.4798772739497356E-2</v>
      </c>
      <c r="S213" s="78">
        <f>VLOOKUP(P213,'Probabilities &amp; Price Slide'!$H$20:$N$23,6, TRUE)</f>
        <v>-4.7674964197479769E-2</v>
      </c>
      <c r="T213" s="78">
        <f>VLOOKUP(P213,'Probabilities &amp; Price Slide'!$H$20:$N$23,7, TRUE)</f>
        <v>-4.7674964197479769E-2</v>
      </c>
    </row>
    <row r="214" spans="16:20" x14ac:dyDescent="0.3">
      <c r="P214" s="43">
        <v>594</v>
      </c>
      <c r="Q214" s="78">
        <f>VLOOKUP(P214,'Probabilities &amp; Price Slide'!$H$20:$N$23,4, TRUE)</f>
        <v>-0.14247373693697712</v>
      </c>
      <c r="R214" s="78">
        <f>VLOOKUP(P214,'Probabilities &amp; Price Slide'!$H$20:$N$23,5, TRUE)</f>
        <v>-9.4798772739497356E-2</v>
      </c>
      <c r="S214" s="78">
        <f>VLOOKUP(P214,'Probabilities &amp; Price Slide'!$H$20:$N$23,6, TRUE)</f>
        <v>-4.7674964197479769E-2</v>
      </c>
      <c r="T214" s="78">
        <f>VLOOKUP(P214,'Probabilities &amp; Price Slide'!$H$20:$N$23,7, TRUE)</f>
        <v>-4.7674964197479769E-2</v>
      </c>
    </row>
    <row r="215" spans="16:20" x14ac:dyDescent="0.3">
      <c r="P215" s="43">
        <v>595</v>
      </c>
      <c r="Q215" s="78">
        <f>VLOOKUP(P215,'Probabilities &amp; Price Slide'!$H$20:$N$23,4, TRUE)</f>
        <v>-0.14247373693697712</v>
      </c>
      <c r="R215" s="78">
        <f>VLOOKUP(P215,'Probabilities &amp; Price Slide'!$H$20:$N$23,5, TRUE)</f>
        <v>-9.4798772739497356E-2</v>
      </c>
      <c r="S215" s="78">
        <f>VLOOKUP(P215,'Probabilities &amp; Price Slide'!$H$20:$N$23,6, TRUE)</f>
        <v>-4.7674964197479769E-2</v>
      </c>
      <c r="T215" s="78">
        <f>VLOOKUP(P215,'Probabilities &amp; Price Slide'!$H$20:$N$23,7, TRUE)</f>
        <v>-4.7674964197479769E-2</v>
      </c>
    </row>
    <row r="216" spans="16:20" x14ac:dyDescent="0.3">
      <c r="P216" s="43">
        <v>596</v>
      </c>
      <c r="Q216" s="78">
        <f>VLOOKUP(P216,'Probabilities &amp; Price Slide'!$H$20:$N$23,4, TRUE)</f>
        <v>-0.14247373693697712</v>
      </c>
      <c r="R216" s="78">
        <f>VLOOKUP(P216,'Probabilities &amp; Price Slide'!$H$20:$N$23,5, TRUE)</f>
        <v>-9.4798772739497356E-2</v>
      </c>
      <c r="S216" s="78">
        <f>VLOOKUP(P216,'Probabilities &amp; Price Slide'!$H$20:$N$23,6, TRUE)</f>
        <v>-4.7674964197479769E-2</v>
      </c>
      <c r="T216" s="78">
        <f>VLOOKUP(P216,'Probabilities &amp; Price Slide'!$H$20:$N$23,7, TRUE)</f>
        <v>-4.7674964197479769E-2</v>
      </c>
    </row>
    <row r="217" spans="16:20" x14ac:dyDescent="0.3">
      <c r="P217" s="43">
        <v>597</v>
      </c>
      <c r="Q217" s="78">
        <f>VLOOKUP(P217,'Probabilities &amp; Price Slide'!$H$20:$N$23,4, TRUE)</f>
        <v>-0.14247373693697712</v>
      </c>
      <c r="R217" s="78">
        <f>VLOOKUP(P217,'Probabilities &amp; Price Slide'!$H$20:$N$23,5, TRUE)</f>
        <v>-9.4798772739497356E-2</v>
      </c>
      <c r="S217" s="78">
        <f>VLOOKUP(P217,'Probabilities &amp; Price Slide'!$H$20:$N$23,6, TRUE)</f>
        <v>-4.7674964197479769E-2</v>
      </c>
      <c r="T217" s="78">
        <f>VLOOKUP(P217,'Probabilities &amp; Price Slide'!$H$20:$N$23,7, TRUE)</f>
        <v>-4.7674964197479769E-2</v>
      </c>
    </row>
    <row r="218" spans="16:20" x14ac:dyDescent="0.3">
      <c r="P218" s="43">
        <v>598</v>
      </c>
      <c r="Q218" s="78">
        <f>VLOOKUP(P218,'Probabilities &amp; Price Slide'!$H$20:$N$23,4, TRUE)</f>
        <v>-0.14247373693697712</v>
      </c>
      <c r="R218" s="78">
        <f>VLOOKUP(P218,'Probabilities &amp; Price Slide'!$H$20:$N$23,5, TRUE)</f>
        <v>-9.4798772739497356E-2</v>
      </c>
      <c r="S218" s="78">
        <f>VLOOKUP(P218,'Probabilities &amp; Price Slide'!$H$20:$N$23,6, TRUE)</f>
        <v>-4.7674964197479769E-2</v>
      </c>
      <c r="T218" s="78">
        <f>VLOOKUP(P218,'Probabilities &amp; Price Slide'!$H$20:$N$23,7, TRUE)</f>
        <v>-4.7674964197479769E-2</v>
      </c>
    </row>
    <row r="219" spans="16:20" x14ac:dyDescent="0.3">
      <c r="P219" s="43">
        <v>599</v>
      </c>
      <c r="Q219" s="78">
        <f>VLOOKUP(P219,'Probabilities &amp; Price Slide'!$H$20:$N$23,4, TRUE)</f>
        <v>-0.14247373693697712</v>
      </c>
      <c r="R219" s="78">
        <f>VLOOKUP(P219,'Probabilities &amp; Price Slide'!$H$20:$N$23,5, TRUE)</f>
        <v>-9.4798772739497356E-2</v>
      </c>
      <c r="S219" s="78">
        <f>VLOOKUP(P219,'Probabilities &amp; Price Slide'!$H$20:$N$23,6, TRUE)</f>
        <v>-4.7674964197479769E-2</v>
      </c>
      <c r="T219" s="78">
        <f>VLOOKUP(P219,'Probabilities &amp; Price Slide'!$H$20:$N$23,7, TRUE)</f>
        <v>-4.7674964197479769E-2</v>
      </c>
    </row>
    <row r="220" spans="16:20" x14ac:dyDescent="0.3">
      <c r="P220" s="43">
        <v>600</v>
      </c>
      <c r="Q220" s="78">
        <f>VLOOKUP(P220,'Probabilities &amp; Price Slide'!$H$20:$N$23,4, TRUE)</f>
        <v>-0.14247373693697712</v>
      </c>
      <c r="R220" s="78">
        <f>VLOOKUP(P220,'Probabilities &amp; Price Slide'!$H$20:$N$23,5, TRUE)</f>
        <v>-9.4798772739497356E-2</v>
      </c>
      <c r="S220" s="78">
        <f>VLOOKUP(P220,'Probabilities &amp; Price Slide'!$H$20:$N$23,6, TRUE)</f>
        <v>-4.7674964197479769E-2</v>
      </c>
      <c r="T220" s="78">
        <f>VLOOKUP(P220,'Probabilities &amp; Price Slide'!$H$20:$N$23,7, TRUE)</f>
        <v>-4.7674964197479769E-2</v>
      </c>
    </row>
    <row r="221" spans="16:20" x14ac:dyDescent="0.3">
      <c r="P221" s="43">
        <v>601</v>
      </c>
      <c r="Q221" s="78">
        <f>VLOOKUP(P221,'Probabilities &amp; Price Slide'!$H$20:$N$23,4, TRUE)</f>
        <v>-0.14247373693697712</v>
      </c>
      <c r="R221" s="78">
        <f>VLOOKUP(P221,'Probabilities &amp; Price Slide'!$H$20:$N$23,5, TRUE)</f>
        <v>-9.4798772739497356E-2</v>
      </c>
      <c r="S221" s="78">
        <f>VLOOKUP(P221,'Probabilities &amp; Price Slide'!$H$20:$N$23,6, TRUE)</f>
        <v>-4.7674964197479769E-2</v>
      </c>
      <c r="T221" s="78">
        <f>VLOOKUP(P221,'Probabilities &amp; Price Slide'!$H$20:$N$23,7, TRUE)</f>
        <v>-4.7674964197479769E-2</v>
      </c>
    </row>
    <row r="222" spans="16:20" x14ac:dyDescent="0.3">
      <c r="P222" s="43">
        <v>602</v>
      </c>
      <c r="Q222" s="78">
        <f>VLOOKUP(P222,'Probabilities &amp; Price Slide'!$H$20:$N$23,4, TRUE)</f>
        <v>-0.14247373693697712</v>
      </c>
      <c r="R222" s="78">
        <f>VLOOKUP(P222,'Probabilities &amp; Price Slide'!$H$20:$N$23,5, TRUE)</f>
        <v>-9.4798772739497356E-2</v>
      </c>
      <c r="S222" s="78">
        <f>VLOOKUP(P222,'Probabilities &amp; Price Slide'!$H$20:$N$23,6, TRUE)</f>
        <v>-4.7674964197479769E-2</v>
      </c>
      <c r="T222" s="78">
        <f>VLOOKUP(P222,'Probabilities &amp; Price Slide'!$H$20:$N$23,7, TRUE)</f>
        <v>-4.7674964197479769E-2</v>
      </c>
    </row>
    <row r="223" spans="16:20" x14ac:dyDescent="0.3">
      <c r="P223" s="43">
        <v>603</v>
      </c>
      <c r="Q223" s="78">
        <f>VLOOKUP(P223,'Probabilities &amp; Price Slide'!$H$20:$N$23,4, TRUE)</f>
        <v>-0.14247373693697712</v>
      </c>
      <c r="R223" s="78">
        <f>VLOOKUP(P223,'Probabilities &amp; Price Slide'!$H$20:$N$23,5, TRUE)</f>
        <v>-9.4798772739497356E-2</v>
      </c>
      <c r="S223" s="78">
        <f>VLOOKUP(P223,'Probabilities &amp; Price Slide'!$H$20:$N$23,6, TRUE)</f>
        <v>-4.7674964197479769E-2</v>
      </c>
      <c r="T223" s="78">
        <f>VLOOKUP(P223,'Probabilities &amp; Price Slide'!$H$20:$N$23,7, TRUE)</f>
        <v>-4.7674964197479769E-2</v>
      </c>
    </row>
    <row r="224" spans="16:20" x14ac:dyDescent="0.3">
      <c r="P224" s="43">
        <v>604</v>
      </c>
      <c r="Q224" s="78">
        <f>VLOOKUP(P224,'Probabilities &amp; Price Slide'!$H$20:$N$23,4, TRUE)</f>
        <v>-0.14247373693697712</v>
      </c>
      <c r="R224" s="78">
        <f>VLOOKUP(P224,'Probabilities &amp; Price Slide'!$H$20:$N$23,5, TRUE)</f>
        <v>-9.4798772739497356E-2</v>
      </c>
      <c r="S224" s="78">
        <f>VLOOKUP(P224,'Probabilities &amp; Price Slide'!$H$20:$N$23,6, TRUE)</f>
        <v>-4.7674964197479769E-2</v>
      </c>
      <c r="T224" s="78">
        <f>VLOOKUP(P224,'Probabilities &amp; Price Slide'!$H$20:$N$23,7, TRUE)</f>
        <v>-4.7674964197479769E-2</v>
      </c>
    </row>
    <row r="225" spans="16:20" x14ac:dyDescent="0.3">
      <c r="P225" s="43">
        <v>605</v>
      </c>
      <c r="Q225" s="78">
        <f>VLOOKUP(P225,'Probabilities &amp; Price Slide'!$H$20:$N$23,4, TRUE)</f>
        <v>-0.14247373693697712</v>
      </c>
      <c r="R225" s="78">
        <f>VLOOKUP(P225,'Probabilities &amp; Price Slide'!$H$20:$N$23,5, TRUE)</f>
        <v>-9.4798772739497356E-2</v>
      </c>
      <c r="S225" s="78">
        <f>VLOOKUP(P225,'Probabilities &amp; Price Slide'!$H$20:$N$23,6, TRUE)</f>
        <v>-4.7674964197479769E-2</v>
      </c>
      <c r="T225" s="78">
        <f>VLOOKUP(P225,'Probabilities &amp; Price Slide'!$H$20:$N$23,7, TRUE)</f>
        <v>-4.7674964197479769E-2</v>
      </c>
    </row>
    <row r="226" spans="16:20" x14ac:dyDescent="0.3">
      <c r="P226" s="43">
        <v>606</v>
      </c>
      <c r="Q226" s="78">
        <f>VLOOKUP(P226,'Probabilities &amp; Price Slide'!$H$20:$N$23,4, TRUE)</f>
        <v>-0.14247373693697712</v>
      </c>
      <c r="R226" s="78">
        <f>VLOOKUP(P226,'Probabilities &amp; Price Slide'!$H$20:$N$23,5, TRUE)</f>
        <v>-9.4798772739497356E-2</v>
      </c>
      <c r="S226" s="78">
        <f>VLOOKUP(P226,'Probabilities &amp; Price Slide'!$H$20:$N$23,6, TRUE)</f>
        <v>-4.7674964197479769E-2</v>
      </c>
      <c r="T226" s="78">
        <f>VLOOKUP(P226,'Probabilities &amp; Price Slide'!$H$20:$N$23,7, TRUE)</f>
        <v>-4.7674964197479769E-2</v>
      </c>
    </row>
    <row r="227" spans="16:20" x14ac:dyDescent="0.3">
      <c r="P227" s="43">
        <v>607</v>
      </c>
      <c r="Q227" s="78">
        <f>VLOOKUP(P227,'Probabilities &amp; Price Slide'!$H$20:$N$23,4, TRUE)</f>
        <v>-0.14247373693697712</v>
      </c>
      <c r="R227" s="78">
        <f>VLOOKUP(P227,'Probabilities &amp; Price Slide'!$H$20:$N$23,5, TRUE)</f>
        <v>-9.4798772739497356E-2</v>
      </c>
      <c r="S227" s="78">
        <f>VLOOKUP(P227,'Probabilities &amp; Price Slide'!$H$20:$N$23,6, TRUE)</f>
        <v>-4.7674964197479769E-2</v>
      </c>
      <c r="T227" s="78">
        <f>VLOOKUP(P227,'Probabilities &amp; Price Slide'!$H$20:$N$23,7, TRUE)</f>
        <v>-4.7674964197479769E-2</v>
      </c>
    </row>
    <row r="228" spans="16:20" x14ac:dyDescent="0.3">
      <c r="P228" s="43">
        <v>608</v>
      </c>
      <c r="Q228" s="78">
        <f>VLOOKUP(P228,'Probabilities &amp; Price Slide'!$H$20:$N$23,4, TRUE)</f>
        <v>-0.14247373693697712</v>
      </c>
      <c r="R228" s="78">
        <f>VLOOKUP(P228,'Probabilities &amp; Price Slide'!$H$20:$N$23,5, TRUE)</f>
        <v>-9.4798772739497356E-2</v>
      </c>
      <c r="S228" s="78">
        <f>VLOOKUP(P228,'Probabilities &amp; Price Slide'!$H$20:$N$23,6, TRUE)</f>
        <v>-4.7674964197479769E-2</v>
      </c>
      <c r="T228" s="78">
        <f>VLOOKUP(P228,'Probabilities &amp; Price Slide'!$H$20:$N$23,7, TRUE)</f>
        <v>-4.7674964197479769E-2</v>
      </c>
    </row>
    <row r="229" spans="16:20" x14ac:dyDescent="0.3">
      <c r="P229" s="43">
        <v>609</v>
      </c>
      <c r="Q229" s="78">
        <f>VLOOKUP(P229,'Probabilities &amp; Price Slide'!$H$20:$N$23,4, TRUE)</f>
        <v>-0.14247373693697712</v>
      </c>
      <c r="R229" s="78">
        <f>VLOOKUP(P229,'Probabilities &amp; Price Slide'!$H$20:$N$23,5, TRUE)</f>
        <v>-9.4798772739497356E-2</v>
      </c>
      <c r="S229" s="78">
        <f>VLOOKUP(P229,'Probabilities &amp; Price Slide'!$H$20:$N$23,6, TRUE)</f>
        <v>-4.7674964197479769E-2</v>
      </c>
      <c r="T229" s="78">
        <f>VLOOKUP(P229,'Probabilities &amp; Price Slide'!$H$20:$N$23,7, TRUE)</f>
        <v>-4.7674964197479769E-2</v>
      </c>
    </row>
    <row r="230" spans="16:20" x14ac:dyDescent="0.3">
      <c r="P230" s="43">
        <v>610</v>
      </c>
      <c r="Q230" s="78">
        <f>VLOOKUP(P230,'Probabilities &amp; Price Slide'!$H$20:$N$23,4, TRUE)</f>
        <v>-0.14247373693697712</v>
      </c>
      <c r="R230" s="78">
        <f>VLOOKUP(P230,'Probabilities &amp; Price Slide'!$H$20:$N$23,5, TRUE)</f>
        <v>-9.4798772739497356E-2</v>
      </c>
      <c r="S230" s="78">
        <f>VLOOKUP(P230,'Probabilities &amp; Price Slide'!$H$20:$N$23,6, TRUE)</f>
        <v>-4.7674964197479769E-2</v>
      </c>
      <c r="T230" s="78">
        <f>VLOOKUP(P230,'Probabilities &amp; Price Slide'!$H$20:$N$23,7, TRUE)</f>
        <v>-4.7674964197479769E-2</v>
      </c>
    </row>
    <row r="231" spans="16:20" x14ac:dyDescent="0.3">
      <c r="P231" s="43">
        <v>611</v>
      </c>
      <c r="Q231" s="78">
        <f>VLOOKUP(P231,'Probabilities &amp; Price Slide'!$H$20:$N$23,4, TRUE)</f>
        <v>-0.14247373693697712</v>
      </c>
      <c r="R231" s="78">
        <f>VLOOKUP(P231,'Probabilities &amp; Price Slide'!$H$20:$N$23,5, TRUE)</f>
        <v>-9.4798772739497356E-2</v>
      </c>
      <c r="S231" s="78">
        <f>VLOOKUP(P231,'Probabilities &amp; Price Slide'!$H$20:$N$23,6, TRUE)</f>
        <v>-4.7674964197479769E-2</v>
      </c>
      <c r="T231" s="78">
        <f>VLOOKUP(P231,'Probabilities &amp; Price Slide'!$H$20:$N$23,7, TRUE)</f>
        <v>-4.7674964197479769E-2</v>
      </c>
    </row>
    <row r="232" spans="16:20" x14ac:dyDescent="0.3">
      <c r="P232" s="43">
        <v>612</v>
      </c>
      <c r="Q232" s="78">
        <f>VLOOKUP(P232,'Probabilities &amp; Price Slide'!$H$20:$N$23,4, TRUE)</f>
        <v>-0.14247373693697712</v>
      </c>
      <c r="R232" s="78">
        <f>VLOOKUP(P232,'Probabilities &amp; Price Slide'!$H$20:$N$23,5, TRUE)</f>
        <v>-9.4798772739497356E-2</v>
      </c>
      <c r="S232" s="78">
        <f>VLOOKUP(P232,'Probabilities &amp; Price Slide'!$H$20:$N$23,6, TRUE)</f>
        <v>-4.7674964197479769E-2</v>
      </c>
      <c r="T232" s="78">
        <f>VLOOKUP(P232,'Probabilities &amp; Price Slide'!$H$20:$N$23,7, TRUE)</f>
        <v>-4.7674964197479769E-2</v>
      </c>
    </row>
    <row r="233" spans="16:20" x14ac:dyDescent="0.3">
      <c r="P233" s="43">
        <v>613</v>
      </c>
      <c r="Q233" s="78">
        <f>VLOOKUP(P233,'Probabilities &amp; Price Slide'!$H$20:$N$23,4, TRUE)</f>
        <v>-0.14247373693697712</v>
      </c>
      <c r="R233" s="78">
        <f>VLOOKUP(P233,'Probabilities &amp; Price Slide'!$H$20:$N$23,5, TRUE)</f>
        <v>-9.4798772739497356E-2</v>
      </c>
      <c r="S233" s="78">
        <f>VLOOKUP(P233,'Probabilities &amp; Price Slide'!$H$20:$N$23,6, TRUE)</f>
        <v>-4.7674964197479769E-2</v>
      </c>
      <c r="T233" s="78">
        <f>VLOOKUP(P233,'Probabilities &amp; Price Slide'!$H$20:$N$23,7, TRUE)</f>
        <v>-4.7674964197479769E-2</v>
      </c>
    </row>
    <row r="234" spans="16:20" x14ac:dyDescent="0.3">
      <c r="P234" s="43">
        <v>614</v>
      </c>
      <c r="Q234" s="78">
        <f>VLOOKUP(P234,'Probabilities &amp; Price Slide'!$H$20:$N$23,4, TRUE)</f>
        <v>-0.14247373693697712</v>
      </c>
      <c r="R234" s="78">
        <f>VLOOKUP(P234,'Probabilities &amp; Price Slide'!$H$20:$N$23,5, TRUE)</f>
        <v>-9.4798772739497356E-2</v>
      </c>
      <c r="S234" s="78">
        <f>VLOOKUP(P234,'Probabilities &amp; Price Slide'!$H$20:$N$23,6, TRUE)</f>
        <v>-4.7674964197479769E-2</v>
      </c>
      <c r="T234" s="78">
        <f>VLOOKUP(P234,'Probabilities &amp; Price Slide'!$H$20:$N$23,7, TRUE)</f>
        <v>-4.7674964197479769E-2</v>
      </c>
    </row>
    <row r="235" spans="16:20" x14ac:dyDescent="0.3">
      <c r="P235" s="43">
        <v>615</v>
      </c>
      <c r="Q235" s="78">
        <f>VLOOKUP(P235,'Probabilities &amp; Price Slide'!$H$20:$N$23,4, TRUE)</f>
        <v>-0.14247373693697712</v>
      </c>
      <c r="R235" s="78">
        <f>VLOOKUP(P235,'Probabilities &amp; Price Slide'!$H$20:$N$23,5, TRUE)</f>
        <v>-9.4798772739497356E-2</v>
      </c>
      <c r="S235" s="78">
        <f>VLOOKUP(P235,'Probabilities &amp; Price Slide'!$H$20:$N$23,6, TRUE)</f>
        <v>-4.7674964197479769E-2</v>
      </c>
      <c r="T235" s="78">
        <f>VLOOKUP(P235,'Probabilities &amp; Price Slide'!$H$20:$N$23,7, TRUE)</f>
        <v>-4.7674964197479769E-2</v>
      </c>
    </row>
    <row r="236" spans="16:20" x14ac:dyDescent="0.3">
      <c r="P236" s="43">
        <v>616</v>
      </c>
      <c r="Q236" s="78">
        <f>VLOOKUP(P236,'Probabilities &amp; Price Slide'!$H$20:$N$23,4, TRUE)</f>
        <v>-0.14247373693697712</v>
      </c>
      <c r="R236" s="78">
        <f>VLOOKUP(P236,'Probabilities &amp; Price Slide'!$H$20:$N$23,5, TRUE)</f>
        <v>-9.4798772739497356E-2</v>
      </c>
      <c r="S236" s="78">
        <f>VLOOKUP(P236,'Probabilities &amp; Price Slide'!$H$20:$N$23,6, TRUE)</f>
        <v>-4.7674964197479769E-2</v>
      </c>
      <c r="T236" s="78">
        <f>VLOOKUP(P236,'Probabilities &amp; Price Slide'!$H$20:$N$23,7, TRUE)</f>
        <v>-4.7674964197479769E-2</v>
      </c>
    </row>
    <row r="237" spans="16:20" x14ac:dyDescent="0.3">
      <c r="P237" s="43">
        <v>617</v>
      </c>
      <c r="Q237" s="78">
        <f>VLOOKUP(P237,'Probabilities &amp; Price Slide'!$H$20:$N$23,4, TRUE)</f>
        <v>-0.14247373693697712</v>
      </c>
      <c r="R237" s="78">
        <f>VLOOKUP(P237,'Probabilities &amp; Price Slide'!$H$20:$N$23,5, TRUE)</f>
        <v>-9.4798772739497356E-2</v>
      </c>
      <c r="S237" s="78">
        <f>VLOOKUP(P237,'Probabilities &amp; Price Slide'!$H$20:$N$23,6, TRUE)</f>
        <v>-4.7674964197479769E-2</v>
      </c>
      <c r="T237" s="78">
        <f>VLOOKUP(P237,'Probabilities &amp; Price Slide'!$H$20:$N$23,7, TRUE)</f>
        <v>-4.7674964197479769E-2</v>
      </c>
    </row>
    <row r="238" spans="16:20" x14ac:dyDescent="0.3">
      <c r="P238" s="43">
        <v>618</v>
      </c>
      <c r="Q238" s="78">
        <f>VLOOKUP(P238,'Probabilities &amp; Price Slide'!$H$20:$N$23,4, TRUE)</f>
        <v>-0.14247373693697712</v>
      </c>
      <c r="R238" s="78">
        <f>VLOOKUP(P238,'Probabilities &amp; Price Slide'!$H$20:$N$23,5, TRUE)</f>
        <v>-9.4798772739497356E-2</v>
      </c>
      <c r="S238" s="78">
        <f>VLOOKUP(P238,'Probabilities &amp; Price Slide'!$H$20:$N$23,6, TRUE)</f>
        <v>-4.7674964197479769E-2</v>
      </c>
      <c r="T238" s="78">
        <f>VLOOKUP(P238,'Probabilities &amp; Price Slide'!$H$20:$N$23,7, TRUE)</f>
        <v>-4.7674964197479769E-2</v>
      </c>
    </row>
    <row r="239" spans="16:20" x14ac:dyDescent="0.3">
      <c r="P239" s="43">
        <v>619</v>
      </c>
      <c r="Q239" s="78">
        <f>VLOOKUP(P239,'Probabilities &amp; Price Slide'!$H$20:$N$23,4, TRUE)</f>
        <v>-0.14247373693697712</v>
      </c>
      <c r="R239" s="78">
        <f>VLOOKUP(P239,'Probabilities &amp; Price Slide'!$H$20:$N$23,5, TRUE)</f>
        <v>-9.4798772739497356E-2</v>
      </c>
      <c r="S239" s="78">
        <f>VLOOKUP(P239,'Probabilities &amp; Price Slide'!$H$20:$N$23,6, TRUE)</f>
        <v>-4.7674964197479769E-2</v>
      </c>
      <c r="T239" s="78">
        <f>VLOOKUP(P239,'Probabilities &amp; Price Slide'!$H$20:$N$23,7, TRUE)</f>
        <v>-4.7674964197479769E-2</v>
      </c>
    </row>
    <row r="240" spans="16:20" x14ac:dyDescent="0.3">
      <c r="P240" s="43">
        <v>620</v>
      </c>
      <c r="Q240" s="78">
        <f>VLOOKUP(P240,'Probabilities &amp; Price Slide'!$H$20:$N$23,4, TRUE)</f>
        <v>-0.14247373693697712</v>
      </c>
      <c r="R240" s="78">
        <f>VLOOKUP(P240,'Probabilities &amp; Price Slide'!$H$20:$N$23,5, TRUE)</f>
        <v>-9.4798772739497356E-2</v>
      </c>
      <c r="S240" s="78">
        <f>VLOOKUP(P240,'Probabilities &amp; Price Slide'!$H$20:$N$23,6, TRUE)</f>
        <v>-4.7674964197479769E-2</v>
      </c>
      <c r="T240" s="78">
        <f>VLOOKUP(P240,'Probabilities &amp; Price Slide'!$H$20:$N$23,7, TRUE)</f>
        <v>-4.7674964197479769E-2</v>
      </c>
    </row>
    <row r="241" spans="16:20" x14ac:dyDescent="0.3">
      <c r="P241" s="43">
        <v>621</v>
      </c>
      <c r="Q241" s="78">
        <f>VLOOKUP(P241,'Probabilities &amp; Price Slide'!$H$20:$N$23,4, TRUE)</f>
        <v>-0.14247373693697712</v>
      </c>
      <c r="R241" s="78">
        <f>VLOOKUP(P241,'Probabilities &amp; Price Slide'!$H$20:$N$23,5, TRUE)</f>
        <v>-9.4798772739497356E-2</v>
      </c>
      <c r="S241" s="78">
        <f>VLOOKUP(P241,'Probabilities &amp; Price Slide'!$H$20:$N$23,6, TRUE)</f>
        <v>-4.7674964197479769E-2</v>
      </c>
      <c r="T241" s="78">
        <f>VLOOKUP(P241,'Probabilities &amp; Price Slide'!$H$20:$N$23,7, TRUE)</f>
        <v>-4.7674964197479769E-2</v>
      </c>
    </row>
    <row r="242" spans="16:20" x14ac:dyDescent="0.3">
      <c r="P242" s="43">
        <v>622</v>
      </c>
      <c r="Q242" s="78">
        <f>VLOOKUP(P242,'Probabilities &amp; Price Slide'!$H$20:$N$23,4, TRUE)</f>
        <v>-0.14247373693697712</v>
      </c>
      <c r="R242" s="78">
        <f>VLOOKUP(P242,'Probabilities &amp; Price Slide'!$H$20:$N$23,5, TRUE)</f>
        <v>-9.4798772739497356E-2</v>
      </c>
      <c r="S242" s="78">
        <f>VLOOKUP(P242,'Probabilities &amp; Price Slide'!$H$20:$N$23,6, TRUE)</f>
        <v>-4.7674964197479769E-2</v>
      </c>
      <c r="T242" s="78">
        <f>VLOOKUP(P242,'Probabilities &amp; Price Slide'!$H$20:$N$23,7, TRUE)</f>
        <v>-4.7674964197479769E-2</v>
      </c>
    </row>
    <row r="243" spans="16:20" x14ac:dyDescent="0.3">
      <c r="P243" s="43">
        <v>623</v>
      </c>
      <c r="Q243" s="78">
        <f>VLOOKUP(P243,'Probabilities &amp; Price Slide'!$H$20:$N$23,4, TRUE)</f>
        <v>-0.14247373693697712</v>
      </c>
      <c r="R243" s="78">
        <f>VLOOKUP(P243,'Probabilities &amp; Price Slide'!$H$20:$N$23,5, TRUE)</f>
        <v>-9.4798772739497356E-2</v>
      </c>
      <c r="S243" s="78">
        <f>VLOOKUP(P243,'Probabilities &amp; Price Slide'!$H$20:$N$23,6, TRUE)</f>
        <v>-4.7674964197479769E-2</v>
      </c>
      <c r="T243" s="78">
        <f>VLOOKUP(P243,'Probabilities &amp; Price Slide'!$H$20:$N$23,7, TRUE)</f>
        <v>-4.7674964197479769E-2</v>
      </c>
    </row>
    <row r="244" spans="16:20" x14ac:dyDescent="0.3">
      <c r="P244" s="43">
        <v>624</v>
      </c>
      <c r="Q244" s="78">
        <f>VLOOKUP(P244,'Probabilities &amp; Price Slide'!$H$20:$N$23,4, TRUE)</f>
        <v>-0.14247373693697712</v>
      </c>
      <c r="R244" s="78">
        <f>VLOOKUP(P244,'Probabilities &amp; Price Slide'!$H$20:$N$23,5, TRUE)</f>
        <v>-9.4798772739497356E-2</v>
      </c>
      <c r="S244" s="78">
        <f>VLOOKUP(P244,'Probabilities &amp; Price Slide'!$H$20:$N$23,6, TRUE)</f>
        <v>-4.7674964197479769E-2</v>
      </c>
      <c r="T244" s="78">
        <f>VLOOKUP(P244,'Probabilities &amp; Price Slide'!$H$20:$N$23,7, TRUE)</f>
        <v>-4.7674964197479769E-2</v>
      </c>
    </row>
    <row r="245" spans="16:20" x14ac:dyDescent="0.3">
      <c r="P245" s="43">
        <v>625</v>
      </c>
      <c r="Q245" s="78">
        <f>VLOOKUP(P245,'Probabilities &amp; Price Slide'!$H$20:$N$23,4, TRUE)</f>
        <v>-0.14247373693697712</v>
      </c>
      <c r="R245" s="78">
        <f>VLOOKUP(P245,'Probabilities &amp; Price Slide'!$H$20:$N$23,5, TRUE)</f>
        <v>-9.4798772739497356E-2</v>
      </c>
      <c r="S245" s="78">
        <f>VLOOKUP(P245,'Probabilities &amp; Price Slide'!$H$20:$N$23,6, TRUE)</f>
        <v>-4.7674964197479769E-2</v>
      </c>
      <c r="T245" s="78">
        <f>VLOOKUP(P245,'Probabilities &amp; Price Slide'!$H$20:$N$23,7, TRUE)</f>
        <v>-4.7674964197479769E-2</v>
      </c>
    </row>
    <row r="246" spans="16:20" x14ac:dyDescent="0.3">
      <c r="P246" s="43">
        <v>626</v>
      </c>
      <c r="Q246" s="78">
        <f>VLOOKUP(P246,'Probabilities &amp; Price Slide'!$H$20:$N$23,4, TRUE)</f>
        <v>-0.14247373693697712</v>
      </c>
      <c r="R246" s="78">
        <f>VLOOKUP(P246,'Probabilities &amp; Price Slide'!$H$20:$N$23,5, TRUE)</f>
        <v>-9.4798772739497356E-2</v>
      </c>
      <c r="S246" s="78">
        <f>VLOOKUP(P246,'Probabilities &amp; Price Slide'!$H$20:$N$23,6, TRUE)</f>
        <v>-4.7674964197479769E-2</v>
      </c>
      <c r="T246" s="78">
        <f>VLOOKUP(P246,'Probabilities &amp; Price Slide'!$H$20:$N$23,7, TRUE)</f>
        <v>-4.7674964197479769E-2</v>
      </c>
    </row>
    <row r="247" spans="16:20" x14ac:dyDescent="0.3">
      <c r="P247" s="43">
        <v>627</v>
      </c>
      <c r="Q247" s="78">
        <f>VLOOKUP(P247,'Probabilities &amp; Price Slide'!$H$20:$N$23,4, TRUE)</f>
        <v>-0.14247373693697712</v>
      </c>
      <c r="R247" s="78">
        <f>VLOOKUP(P247,'Probabilities &amp; Price Slide'!$H$20:$N$23,5, TRUE)</f>
        <v>-9.4798772739497356E-2</v>
      </c>
      <c r="S247" s="78">
        <f>VLOOKUP(P247,'Probabilities &amp; Price Slide'!$H$20:$N$23,6, TRUE)</f>
        <v>-4.7674964197479769E-2</v>
      </c>
      <c r="T247" s="78">
        <f>VLOOKUP(P247,'Probabilities &amp; Price Slide'!$H$20:$N$23,7, TRUE)</f>
        <v>-4.7674964197479769E-2</v>
      </c>
    </row>
    <row r="248" spans="16:20" x14ac:dyDescent="0.3">
      <c r="P248" s="43">
        <v>628</v>
      </c>
      <c r="Q248" s="78">
        <f>VLOOKUP(P248,'Probabilities &amp; Price Slide'!$H$20:$N$23,4, TRUE)</f>
        <v>-0.14247373693697712</v>
      </c>
      <c r="R248" s="78">
        <f>VLOOKUP(P248,'Probabilities &amp; Price Slide'!$H$20:$N$23,5, TRUE)</f>
        <v>-9.4798772739497356E-2</v>
      </c>
      <c r="S248" s="78">
        <f>VLOOKUP(P248,'Probabilities &amp; Price Slide'!$H$20:$N$23,6, TRUE)</f>
        <v>-4.7674964197479769E-2</v>
      </c>
      <c r="T248" s="78">
        <f>VLOOKUP(P248,'Probabilities &amp; Price Slide'!$H$20:$N$23,7, TRUE)</f>
        <v>-4.7674964197479769E-2</v>
      </c>
    </row>
    <row r="249" spans="16:20" x14ac:dyDescent="0.3">
      <c r="P249" s="43">
        <v>629</v>
      </c>
      <c r="Q249" s="78">
        <f>VLOOKUP(P249,'Probabilities &amp; Price Slide'!$H$20:$N$23,4, TRUE)</f>
        <v>-0.14247373693697712</v>
      </c>
      <c r="R249" s="78">
        <f>VLOOKUP(P249,'Probabilities &amp; Price Slide'!$H$20:$N$23,5, TRUE)</f>
        <v>-9.4798772739497356E-2</v>
      </c>
      <c r="S249" s="78">
        <f>VLOOKUP(P249,'Probabilities &amp; Price Slide'!$H$20:$N$23,6, TRUE)</f>
        <v>-4.7674964197479769E-2</v>
      </c>
      <c r="T249" s="78">
        <f>VLOOKUP(P249,'Probabilities &amp; Price Slide'!$H$20:$N$23,7, TRUE)</f>
        <v>-4.7674964197479769E-2</v>
      </c>
    </row>
    <row r="250" spans="16:20" x14ac:dyDescent="0.3">
      <c r="P250" s="43">
        <v>630</v>
      </c>
      <c r="Q250" s="78">
        <f>VLOOKUP(P250,'Probabilities &amp; Price Slide'!$H$20:$N$23,4, TRUE)</f>
        <v>-0.14247373693697712</v>
      </c>
      <c r="R250" s="78">
        <f>VLOOKUP(P250,'Probabilities &amp; Price Slide'!$H$20:$N$23,5, TRUE)</f>
        <v>-9.4798772739497356E-2</v>
      </c>
      <c r="S250" s="78">
        <f>VLOOKUP(P250,'Probabilities &amp; Price Slide'!$H$20:$N$23,6, TRUE)</f>
        <v>-4.7674964197479769E-2</v>
      </c>
      <c r="T250" s="78">
        <f>VLOOKUP(P250,'Probabilities &amp; Price Slide'!$H$20:$N$23,7, TRUE)</f>
        <v>-4.7674964197479769E-2</v>
      </c>
    </row>
    <row r="251" spans="16:20" x14ac:dyDescent="0.3">
      <c r="P251" s="43">
        <v>631</v>
      </c>
      <c r="Q251" s="78">
        <f>VLOOKUP(P251,'Probabilities &amp; Price Slide'!$H$20:$N$23,4, TRUE)</f>
        <v>-0.14247373693697712</v>
      </c>
      <c r="R251" s="78">
        <f>VLOOKUP(P251,'Probabilities &amp; Price Slide'!$H$20:$N$23,5, TRUE)</f>
        <v>-9.4798772739497356E-2</v>
      </c>
      <c r="S251" s="78">
        <f>VLOOKUP(P251,'Probabilities &amp; Price Slide'!$H$20:$N$23,6, TRUE)</f>
        <v>-4.7674964197479769E-2</v>
      </c>
      <c r="T251" s="78">
        <f>VLOOKUP(P251,'Probabilities &amp; Price Slide'!$H$20:$N$23,7, TRUE)</f>
        <v>-4.7674964197479769E-2</v>
      </c>
    </row>
    <row r="252" spans="16:20" x14ac:dyDescent="0.3">
      <c r="P252" s="43">
        <v>632</v>
      </c>
      <c r="Q252" s="78">
        <f>VLOOKUP(P252,'Probabilities &amp; Price Slide'!$H$20:$N$23,4, TRUE)</f>
        <v>-0.14247373693697712</v>
      </c>
      <c r="R252" s="78">
        <f>VLOOKUP(P252,'Probabilities &amp; Price Slide'!$H$20:$N$23,5, TRUE)</f>
        <v>-9.4798772739497356E-2</v>
      </c>
      <c r="S252" s="78">
        <f>VLOOKUP(P252,'Probabilities &amp; Price Slide'!$H$20:$N$23,6, TRUE)</f>
        <v>-4.7674964197479769E-2</v>
      </c>
      <c r="T252" s="78">
        <f>VLOOKUP(P252,'Probabilities &amp; Price Slide'!$H$20:$N$23,7, TRUE)</f>
        <v>-4.7674964197479769E-2</v>
      </c>
    </row>
    <row r="253" spans="16:20" x14ac:dyDescent="0.3">
      <c r="P253" s="43">
        <v>633</v>
      </c>
      <c r="Q253" s="78">
        <f>VLOOKUP(P253,'Probabilities &amp; Price Slide'!$H$20:$N$23,4, TRUE)</f>
        <v>-0.14247373693697712</v>
      </c>
      <c r="R253" s="78">
        <f>VLOOKUP(P253,'Probabilities &amp; Price Slide'!$H$20:$N$23,5, TRUE)</f>
        <v>-9.4798772739497356E-2</v>
      </c>
      <c r="S253" s="78">
        <f>VLOOKUP(P253,'Probabilities &amp; Price Slide'!$H$20:$N$23,6, TRUE)</f>
        <v>-4.7674964197479769E-2</v>
      </c>
      <c r="T253" s="78">
        <f>VLOOKUP(P253,'Probabilities &amp; Price Slide'!$H$20:$N$23,7, TRUE)</f>
        <v>-4.7674964197479769E-2</v>
      </c>
    </row>
    <row r="254" spans="16:20" x14ac:dyDescent="0.3">
      <c r="P254" s="43">
        <v>634</v>
      </c>
      <c r="Q254" s="78">
        <f>VLOOKUP(P254,'Probabilities &amp; Price Slide'!$H$20:$N$23,4, TRUE)</f>
        <v>-0.14247373693697712</v>
      </c>
      <c r="R254" s="78">
        <f>VLOOKUP(P254,'Probabilities &amp; Price Slide'!$H$20:$N$23,5, TRUE)</f>
        <v>-9.4798772739497356E-2</v>
      </c>
      <c r="S254" s="78">
        <f>VLOOKUP(P254,'Probabilities &amp; Price Slide'!$H$20:$N$23,6, TRUE)</f>
        <v>-4.7674964197479769E-2</v>
      </c>
      <c r="T254" s="78">
        <f>VLOOKUP(P254,'Probabilities &amp; Price Slide'!$H$20:$N$23,7, TRUE)</f>
        <v>-4.7674964197479769E-2</v>
      </c>
    </row>
    <row r="255" spans="16:20" x14ac:dyDescent="0.3">
      <c r="P255" s="43">
        <v>635</v>
      </c>
      <c r="Q255" s="78">
        <f>VLOOKUP(P255,'Probabilities &amp; Price Slide'!$H$20:$N$23,4, TRUE)</f>
        <v>-0.14247373693697712</v>
      </c>
      <c r="R255" s="78">
        <f>VLOOKUP(P255,'Probabilities &amp; Price Slide'!$H$20:$N$23,5, TRUE)</f>
        <v>-9.4798772739497356E-2</v>
      </c>
      <c r="S255" s="78">
        <f>VLOOKUP(P255,'Probabilities &amp; Price Slide'!$H$20:$N$23,6, TRUE)</f>
        <v>-4.7674964197479769E-2</v>
      </c>
      <c r="T255" s="78">
        <f>VLOOKUP(P255,'Probabilities &amp; Price Slide'!$H$20:$N$23,7, TRUE)</f>
        <v>-4.7674964197479769E-2</v>
      </c>
    </row>
    <row r="256" spans="16:20" x14ac:dyDescent="0.3">
      <c r="P256" s="43">
        <v>636</v>
      </c>
      <c r="Q256" s="78">
        <f>VLOOKUP(P256,'Probabilities &amp; Price Slide'!$H$20:$N$23,4, TRUE)</f>
        <v>-0.14247373693697712</v>
      </c>
      <c r="R256" s="78">
        <f>VLOOKUP(P256,'Probabilities &amp; Price Slide'!$H$20:$N$23,5, TRUE)</f>
        <v>-9.4798772739497356E-2</v>
      </c>
      <c r="S256" s="78">
        <f>VLOOKUP(P256,'Probabilities &amp; Price Slide'!$H$20:$N$23,6, TRUE)</f>
        <v>-4.7674964197479769E-2</v>
      </c>
      <c r="T256" s="78">
        <f>VLOOKUP(P256,'Probabilities &amp; Price Slide'!$H$20:$N$23,7, TRUE)</f>
        <v>-4.7674964197479769E-2</v>
      </c>
    </row>
    <row r="257" spans="16:20" x14ac:dyDescent="0.3">
      <c r="P257" s="43">
        <v>637</v>
      </c>
      <c r="Q257" s="78">
        <f>VLOOKUP(P257,'Probabilities &amp; Price Slide'!$H$20:$N$23,4, TRUE)</f>
        <v>-0.14247373693697712</v>
      </c>
      <c r="R257" s="78">
        <f>VLOOKUP(P257,'Probabilities &amp; Price Slide'!$H$20:$N$23,5, TRUE)</f>
        <v>-9.4798772739497356E-2</v>
      </c>
      <c r="S257" s="78">
        <f>VLOOKUP(P257,'Probabilities &amp; Price Slide'!$H$20:$N$23,6, TRUE)</f>
        <v>-4.7674964197479769E-2</v>
      </c>
      <c r="T257" s="78">
        <f>VLOOKUP(P257,'Probabilities &amp; Price Slide'!$H$20:$N$23,7, TRUE)</f>
        <v>-4.7674964197479769E-2</v>
      </c>
    </row>
    <row r="258" spans="16:20" x14ac:dyDescent="0.3">
      <c r="P258" s="43">
        <v>638</v>
      </c>
      <c r="Q258" s="78">
        <f>VLOOKUP(P258,'Probabilities &amp; Price Slide'!$H$20:$N$23,4, TRUE)</f>
        <v>-0.14247373693697712</v>
      </c>
      <c r="R258" s="78">
        <f>VLOOKUP(P258,'Probabilities &amp; Price Slide'!$H$20:$N$23,5, TRUE)</f>
        <v>-9.4798772739497356E-2</v>
      </c>
      <c r="S258" s="78">
        <f>VLOOKUP(P258,'Probabilities &amp; Price Slide'!$H$20:$N$23,6, TRUE)</f>
        <v>-4.7674964197479769E-2</v>
      </c>
      <c r="T258" s="78">
        <f>VLOOKUP(P258,'Probabilities &amp; Price Slide'!$H$20:$N$23,7, TRUE)</f>
        <v>-4.7674964197479769E-2</v>
      </c>
    </row>
    <row r="259" spans="16:20" x14ac:dyDescent="0.3">
      <c r="P259" s="43">
        <v>639</v>
      </c>
      <c r="Q259" s="78">
        <f>VLOOKUP(P259,'Probabilities &amp; Price Slide'!$H$20:$N$23,4, TRUE)</f>
        <v>-0.14247373693697712</v>
      </c>
      <c r="R259" s="78">
        <f>VLOOKUP(P259,'Probabilities &amp; Price Slide'!$H$20:$N$23,5, TRUE)</f>
        <v>-9.4798772739497356E-2</v>
      </c>
      <c r="S259" s="78">
        <f>VLOOKUP(P259,'Probabilities &amp; Price Slide'!$H$20:$N$23,6, TRUE)</f>
        <v>-4.7674964197479769E-2</v>
      </c>
      <c r="T259" s="78">
        <f>VLOOKUP(P259,'Probabilities &amp; Price Slide'!$H$20:$N$23,7, TRUE)</f>
        <v>-4.7674964197479769E-2</v>
      </c>
    </row>
    <row r="260" spans="16:20" x14ac:dyDescent="0.3">
      <c r="P260" s="43">
        <v>640</v>
      </c>
      <c r="Q260" s="78">
        <f>VLOOKUP(P260,'Probabilities &amp; Price Slide'!$H$20:$N$23,4, TRUE)</f>
        <v>-0.14247373693697712</v>
      </c>
      <c r="R260" s="78">
        <f>VLOOKUP(P260,'Probabilities &amp; Price Slide'!$H$20:$N$23,5, TRUE)</f>
        <v>-9.4798772739497356E-2</v>
      </c>
      <c r="S260" s="78">
        <f>VLOOKUP(P260,'Probabilities &amp; Price Slide'!$H$20:$N$23,6, TRUE)</f>
        <v>-4.7674964197479769E-2</v>
      </c>
      <c r="T260" s="78">
        <f>VLOOKUP(P260,'Probabilities &amp; Price Slide'!$H$20:$N$23,7, TRUE)</f>
        <v>-4.7674964197479769E-2</v>
      </c>
    </row>
    <row r="261" spans="16:20" x14ac:dyDescent="0.3">
      <c r="P261" s="43">
        <v>641</v>
      </c>
      <c r="Q261" s="78">
        <f>VLOOKUP(P261,'Probabilities &amp; Price Slide'!$H$20:$N$23,4, TRUE)</f>
        <v>-0.14247373693697712</v>
      </c>
      <c r="R261" s="78">
        <f>VLOOKUP(P261,'Probabilities &amp; Price Slide'!$H$20:$N$23,5, TRUE)</f>
        <v>-9.4798772739497356E-2</v>
      </c>
      <c r="S261" s="78">
        <f>VLOOKUP(P261,'Probabilities &amp; Price Slide'!$H$20:$N$23,6, TRUE)</f>
        <v>-4.7674964197479769E-2</v>
      </c>
      <c r="T261" s="78">
        <f>VLOOKUP(P261,'Probabilities &amp; Price Slide'!$H$20:$N$23,7, TRUE)</f>
        <v>-4.7674964197479769E-2</v>
      </c>
    </row>
    <row r="262" spans="16:20" x14ac:dyDescent="0.3">
      <c r="P262" s="43">
        <v>642</v>
      </c>
      <c r="Q262" s="78">
        <f>VLOOKUP(P262,'Probabilities &amp; Price Slide'!$H$20:$N$23,4, TRUE)</f>
        <v>-0.14247373693697712</v>
      </c>
      <c r="R262" s="78">
        <f>VLOOKUP(P262,'Probabilities &amp; Price Slide'!$H$20:$N$23,5, TRUE)</f>
        <v>-9.4798772739497356E-2</v>
      </c>
      <c r="S262" s="78">
        <f>VLOOKUP(P262,'Probabilities &amp; Price Slide'!$H$20:$N$23,6, TRUE)</f>
        <v>-4.7674964197479769E-2</v>
      </c>
      <c r="T262" s="78">
        <f>VLOOKUP(P262,'Probabilities &amp; Price Slide'!$H$20:$N$23,7, TRUE)</f>
        <v>-4.7674964197479769E-2</v>
      </c>
    </row>
    <row r="263" spans="16:20" x14ac:dyDescent="0.3">
      <c r="P263" s="43">
        <v>643</v>
      </c>
      <c r="Q263" s="78">
        <f>VLOOKUP(P263,'Probabilities &amp; Price Slide'!$H$20:$N$23,4, TRUE)</f>
        <v>-0.14247373693697712</v>
      </c>
      <c r="R263" s="78">
        <f>VLOOKUP(P263,'Probabilities &amp; Price Slide'!$H$20:$N$23,5, TRUE)</f>
        <v>-9.4798772739497356E-2</v>
      </c>
      <c r="S263" s="78">
        <f>VLOOKUP(P263,'Probabilities &amp; Price Slide'!$H$20:$N$23,6, TRUE)</f>
        <v>-4.7674964197479769E-2</v>
      </c>
      <c r="T263" s="78">
        <f>VLOOKUP(P263,'Probabilities &amp; Price Slide'!$H$20:$N$23,7, TRUE)</f>
        <v>-4.7674964197479769E-2</v>
      </c>
    </row>
    <row r="264" spans="16:20" x14ac:dyDescent="0.3">
      <c r="P264" s="43">
        <v>644</v>
      </c>
      <c r="Q264" s="78">
        <f>VLOOKUP(P264,'Probabilities &amp; Price Slide'!$H$20:$N$23,4, TRUE)</f>
        <v>-0.14247373693697712</v>
      </c>
      <c r="R264" s="78">
        <f>VLOOKUP(P264,'Probabilities &amp; Price Slide'!$H$20:$N$23,5, TRUE)</f>
        <v>-9.4798772739497356E-2</v>
      </c>
      <c r="S264" s="78">
        <f>VLOOKUP(P264,'Probabilities &amp; Price Slide'!$H$20:$N$23,6, TRUE)</f>
        <v>-4.7674964197479769E-2</v>
      </c>
      <c r="T264" s="78">
        <f>VLOOKUP(P264,'Probabilities &amp; Price Slide'!$H$20:$N$23,7, TRUE)</f>
        <v>-4.7674964197479769E-2</v>
      </c>
    </row>
    <row r="265" spans="16:20" x14ac:dyDescent="0.3">
      <c r="P265" s="43">
        <v>645</v>
      </c>
      <c r="Q265" s="78">
        <f>VLOOKUP(P265,'Probabilities &amp; Price Slide'!$H$20:$N$23,4, TRUE)</f>
        <v>-0.14247373693697712</v>
      </c>
      <c r="R265" s="78">
        <f>VLOOKUP(P265,'Probabilities &amp; Price Slide'!$H$20:$N$23,5, TRUE)</f>
        <v>-9.4798772739497356E-2</v>
      </c>
      <c r="S265" s="78">
        <f>VLOOKUP(P265,'Probabilities &amp; Price Slide'!$H$20:$N$23,6, TRUE)</f>
        <v>-4.7674964197479769E-2</v>
      </c>
      <c r="T265" s="78">
        <f>VLOOKUP(P265,'Probabilities &amp; Price Slide'!$H$20:$N$23,7, TRUE)</f>
        <v>-4.7674964197479769E-2</v>
      </c>
    </row>
    <row r="266" spans="16:20" x14ac:dyDescent="0.3">
      <c r="P266" s="43">
        <v>646</v>
      </c>
      <c r="Q266" s="78">
        <f>VLOOKUP(P266,'Probabilities &amp; Price Slide'!$H$20:$N$23,4, TRUE)</f>
        <v>-0.14247373693697712</v>
      </c>
      <c r="R266" s="78">
        <f>VLOOKUP(P266,'Probabilities &amp; Price Slide'!$H$20:$N$23,5, TRUE)</f>
        <v>-9.4798772739497356E-2</v>
      </c>
      <c r="S266" s="78">
        <f>VLOOKUP(P266,'Probabilities &amp; Price Slide'!$H$20:$N$23,6, TRUE)</f>
        <v>-4.7674964197479769E-2</v>
      </c>
      <c r="T266" s="78">
        <f>VLOOKUP(P266,'Probabilities &amp; Price Slide'!$H$20:$N$23,7, TRUE)</f>
        <v>-4.7674964197479769E-2</v>
      </c>
    </row>
    <row r="267" spans="16:20" x14ac:dyDescent="0.3">
      <c r="P267" s="43">
        <v>647</v>
      </c>
      <c r="Q267" s="78">
        <f>VLOOKUP(P267,'Probabilities &amp; Price Slide'!$H$20:$N$23,4, TRUE)</f>
        <v>-0.14247373693697712</v>
      </c>
      <c r="R267" s="78">
        <f>VLOOKUP(P267,'Probabilities &amp; Price Slide'!$H$20:$N$23,5, TRUE)</f>
        <v>-9.4798772739497356E-2</v>
      </c>
      <c r="S267" s="78">
        <f>VLOOKUP(P267,'Probabilities &amp; Price Slide'!$H$20:$N$23,6, TRUE)</f>
        <v>-4.7674964197479769E-2</v>
      </c>
      <c r="T267" s="78">
        <f>VLOOKUP(P267,'Probabilities &amp; Price Slide'!$H$20:$N$23,7, TRUE)</f>
        <v>-4.7674964197479769E-2</v>
      </c>
    </row>
    <row r="268" spans="16:20" x14ac:dyDescent="0.3">
      <c r="P268" s="43">
        <v>648</v>
      </c>
      <c r="Q268" s="78">
        <f>VLOOKUP(P268,'Probabilities &amp; Price Slide'!$H$20:$N$23,4, TRUE)</f>
        <v>-0.14247373693697712</v>
      </c>
      <c r="R268" s="78">
        <f>VLOOKUP(P268,'Probabilities &amp; Price Slide'!$H$20:$N$23,5, TRUE)</f>
        <v>-9.4798772739497356E-2</v>
      </c>
      <c r="S268" s="78">
        <f>VLOOKUP(P268,'Probabilities &amp; Price Slide'!$H$20:$N$23,6, TRUE)</f>
        <v>-4.7674964197479769E-2</v>
      </c>
      <c r="T268" s="78">
        <f>VLOOKUP(P268,'Probabilities &amp; Price Slide'!$H$20:$N$23,7, TRUE)</f>
        <v>-4.7674964197479769E-2</v>
      </c>
    </row>
    <row r="269" spans="16:20" x14ac:dyDescent="0.3">
      <c r="P269" s="43">
        <v>649</v>
      </c>
      <c r="Q269" s="78">
        <f>VLOOKUP(P269,'Probabilities &amp; Price Slide'!$H$20:$N$23,4, TRUE)</f>
        <v>-0.14247373693697712</v>
      </c>
      <c r="R269" s="78">
        <f>VLOOKUP(P269,'Probabilities &amp; Price Slide'!$H$20:$N$23,5, TRUE)</f>
        <v>-9.4798772739497356E-2</v>
      </c>
      <c r="S269" s="78">
        <f>VLOOKUP(P269,'Probabilities &amp; Price Slide'!$H$20:$N$23,6, TRUE)</f>
        <v>-4.7674964197479769E-2</v>
      </c>
      <c r="T269" s="78">
        <f>VLOOKUP(P269,'Probabilities &amp; Price Slide'!$H$20:$N$23,7, TRUE)</f>
        <v>-4.7674964197479769E-2</v>
      </c>
    </row>
    <row r="270" spans="16:20" x14ac:dyDescent="0.3">
      <c r="P270" s="43">
        <v>650</v>
      </c>
      <c r="Q270" s="78">
        <f>VLOOKUP(P270,'Probabilities &amp; Price Slide'!$H$20:$N$23,4, TRUE)</f>
        <v>-0.14247373693697712</v>
      </c>
      <c r="R270" s="78">
        <f>VLOOKUP(P270,'Probabilities &amp; Price Slide'!$H$20:$N$23,5, TRUE)</f>
        <v>-9.4798772739497356E-2</v>
      </c>
      <c r="S270" s="78">
        <f>VLOOKUP(P270,'Probabilities &amp; Price Slide'!$H$20:$N$23,6, TRUE)</f>
        <v>-4.7674964197479769E-2</v>
      </c>
      <c r="T270" s="78">
        <f>VLOOKUP(P270,'Probabilities &amp; Price Slide'!$H$20:$N$23,7, TRUE)</f>
        <v>-4.7674964197479769E-2</v>
      </c>
    </row>
    <row r="271" spans="16:20" x14ac:dyDescent="0.3">
      <c r="P271" s="43">
        <v>651</v>
      </c>
      <c r="Q271" s="78">
        <f>VLOOKUP(P271,'Probabilities &amp; Price Slide'!$H$20:$N$23,4, TRUE)</f>
        <v>-0.14247373693697712</v>
      </c>
      <c r="R271" s="78">
        <f>VLOOKUP(P271,'Probabilities &amp; Price Slide'!$H$20:$N$23,5, TRUE)</f>
        <v>-9.4798772739497356E-2</v>
      </c>
      <c r="S271" s="78">
        <f>VLOOKUP(P271,'Probabilities &amp; Price Slide'!$H$20:$N$23,6, TRUE)</f>
        <v>-4.7674964197479769E-2</v>
      </c>
      <c r="T271" s="78">
        <f>VLOOKUP(P271,'Probabilities &amp; Price Slide'!$H$20:$N$23,7, TRUE)</f>
        <v>-4.7674964197479769E-2</v>
      </c>
    </row>
    <row r="272" spans="16:20" x14ac:dyDescent="0.3">
      <c r="P272" s="43">
        <v>652</v>
      </c>
      <c r="Q272" s="78">
        <f>VLOOKUP(P272,'Probabilities &amp; Price Slide'!$H$20:$N$23,4, TRUE)</f>
        <v>-0.14247373693697712</v>
      </c>
      <c r="R272" s="78">
        <f>VLOOKUP(P272,'Probabilities &amp; Price Slide'!$H$20:$N$23,5, TRUE)</f>
        <v>-9.4798772739497356E-2</v>
      </c>
      <c r="S272" s="78">
        <f>VLOOKUP(P272,'Probabilities &amp; Price Slide'!$H$20:$N$23,6, TRUE)</f>
        <v>-4.7674964197479769E-2</v>
      </c>
      <c r="T272" s="78">
        <f>VLOOKUP(P272,'Probabilities &amp; Price Slide'!$H$20:$N$23,7, TRUE)</f>
        <v>-4.7674964197479769E-2</v>
      </c>
    </row>
    <row r="273" spans="16:20" x14ac:dyDescent="0.3">
      <c r="P273" s="43">
        <v>653</v>
      </c>
      <c r="Q273" s="78">
        <f>VLOOKUP(P273,'Probabilities &amp; Price Slide'!$H$20:$N$23,4, TRUE)</f>
        <v>-0.14247373693697712</v>
      </c>
      <c r="R273" s="78">
        <f>VLOOKUP(P273,'Probabilities &amp; Price Slide'!$H$20:$N$23,5, TRUE)</f>
        <v>-9.4798772739497356E-2</v>
      </c>
      <c r="S273" s="78">
        <f>VLOOKUP(P273,'Probabilities &amp; Price Slide'!$H$20:$N$23,6, TRUE)</f>
        <v>-4.7674964197479769E-2</v>
      </c>
      <c r="T273" s="78">
        <f>VLOOKUP(P273,'Probabilities &amp; Price Slide'!$H$20:$N$23,7, TRUE)</f>
        <v>-4.7674964197479769E-2</v>
      </c>
    </row>
    <row r="274" spans="16:20" x14ac:dyDescent="0.3">
      <c r="P274" s="43">
        <v>654</v>
      </c>
      <c r="Q274" s="78">
        <f>VLOOKUP(P274,'Probabilities &amp; Price Slide'!$H$20:$N$23,4, TRUE)</f>
        <v>-0.14247373693697712</v>
      </c>
      <c r="R274" s="78">
        <f>VLOOKUP(P274,'Probabilities &amp; Price Slide'!$H$20:$N$23,5, TRUE)</f>
        <v>-9.4798772739497356E-2</v>
      </c>
      <c r="S274" s="78">
        <f>VLOOKUP(P274,'Probabilities &amp; Price Slide'!$H$20:$N$23,6, TRUE)</f>
        <v>-4.7674964197479769E-2</v>
      </c>
      <c r="T274" s="78">
        <f>VLOOKUP(P274,'Probabilities &amp; Price Slide'!$H$20:$N$23,7, TRUE)</f>
        <v>-4.7674964197479769E-2</v>
      </c>
    </row>
    <row r="275" spans="16:20" x14ac:dyDescent="0.3">
      <c r="P275" s="43">
        <v>655</v>
      </c>
      <c r="Q275" s="78">
        <f>VLOOKUP(P275,'Probabilities &amp; Price Slide'!$H$20:$N$23,4, TRUE)</f>
        <v>-0.14247373693697712</v>
      </c>
      <c r="R275" s="78">
        <f>VLOOKUP(P275,'Probabilities &amp; Price Slide'!$H$20:$N$23,5, TRUE)</f>
        <v>-9.4798772739497356E-2</v>
      </c>
      <c r="S275" s="78">
        <f>VLOOKUP(P275,'Probabilities &amp; Price Slide'!$H$20:$N$23,6, TRUE)</f>
        <v>-4.7674964197479769E-2</v>
      </c>
      <c r="T275" s="78">
        <f>VLOOKUP(P275,'Probabilities &amp; Price Slide'!$H$20:$N$23,7, TRUE)</f>
        <v>-4.7674964197479769E-2</v>
      </c>
    </row>
    <row r="276" spans="16:20" x14ac:dyDescent="0.3">
      <c r="P276" s="43">
        <v>656</v>
      </c>
      <c r="Q276" s="78">
        <f>VLOOKUP(P276,'Probabilities &amp; Price Slide'!$H$20:$N$23,4, TRUE)</f>
        <v>-0.14247373693697712</v>
      </c>
      <c r="R276" s="78">
        <f>VLOOKUP(P276,'Probabilities &amp; Price Slide'!$H$20:$N$23,5, TRUE)</f>
        <v>-9.4798772739497356E-2</v>
      </c>
      <c r="S276" s="78">
        <f>VLOOKUP(P276,'Probabilities &amp; Price Slide'!$H$20:$N$23,6, TRUE)</f>
        <v>-4.7674964197479769E-2</v>
      </c>
      <c r="T276" s="78">
        <f>VLOOKUP(P276,'Probabilities &amp; Price Slide'!$H$20:$N$23,7, TRUE)</f>
        <v>-4.7674964197479769E-2</v>
      </c>
    </row>
    <row r="277" spans="16:20" x14ac:dyDescent="0.3">
      <c r="P277" s="43">
        <v>657</v>
      </c>
      <c r="Q277" s="78">
        <f>VLOOKUP(P277,'Probabilities &amp; Price Slide'!$H$20:$N$23,4, TRUE)</f>
        <v>-0.14247373693697712</v>
      </c>
      <c r="R277" s="78">
        <f>VLOOKUP(P277,'Probabilities &amp; Price Slide'!$H$20:$N$23,5, TRUE)</f>
        <v>-9.4798772739497356E-2</v>
      </c>
      <c r="S277" s="78">
        <f>VLOOKUP(P277,'Probabilities &amp; Price Slide'!$H$20:$N$23,6, TRUE)</f>
        <v>-4.7674964197479769E-2</v>
      </c>
      <c r="T277" s="78">
        <f>VLOOKUP(P277,'Probabilities &amp; Price Slide'!$H$20:$N$23,7, TRUE)</f>
        <v>-4.7674964197479769E-2</v>
      </c>
    </row>
    <row r="278" spans="16:20" x14ac:dyDescent="0.3">
      <c r="P278" s="43">
        <v>658</v>
      </c>
      <c r="Q278" s="78">
        <f>VLOOKUP(P278,'Probabilities &amp; Price Slide'!$H$20:$N$23,4, TRUE)</f>
        <v>-0.14247373693697712</v>
      </c>
      <c r="R278" s="78">
        <f>VLOOKUP(P278,'Probabilities &amp; Price Slide'!$H$20:$N$23,5, TRUE)</f>
        <v>-9.4798772739497356E-2</v>
      </c>
      <c r="S278" s="78">
        <f>VLOOKUP(P278,'Probabilities &amp; Price Slide'!$H$20:$N$23,6, TRUE)</f>
        <v>-4.7674964197479769E-2</v>
      </c>
      <c r="T278" s="78">
        <f>VLOOKUP(P278,'Probabilities &amp; Price Slide'!$H$20:$N$23,7, TRUE)</f>
        <v>-4.7674964197479769E-2</v>
      </c>
    </row>
    <row r="279" spans="16:20" x14ac:dyDescent="0.3">
      <c r="P279" s="43">
        <v>659</v>
      </c>
      <c r="Q279" s="78">
        <f>VLOOKUP(P279,'Probabilities &amp; Price Slide'!$H$20:$N$23,4, TRUE)</f>
        <v>-0.14247373693697712</v>
      </c>
      <c r="R279" s="78">
        <f>VLOOKUP(P279,'Probabilities &amp; Price Slide'!$H$20:$N$23,5, TRUE)</f>
        <v>-9.4798772739497356E-2</v>
      </c>
      <c r="S279" s="78">
        <f>VLOOKUP(P279,'Probabilities &amp; Price Slide'!$H$20:$N$23,6, TRUE)</f>
        <v>-4.7674964197479769E-2</v>
      </c>
      <c r="T279" s="78">
        <f>VLOOKUP(P279,'Probabilities &amp; Price Slide'!$H$20:$N$23,7, TRUE)</f>
        <v>-4.7674964197479769E-2</v>
      </c>
    </row>
    <row r="280" spans="16:20" x14ac:dyDescent="0.3">
      <c r="P280" s="43">
        <v>660</v>
      </c>
      <c r="Q280" s="78">
        <f>VLOOKUP(P280,'Probabilities &amp; Price Slide'!$H$20:$N$23,4, TRUE)</f>
        <v>-0.14247373693697712</v>
      </c>
      <c r="R280" s="78">
        <f>VLOOKUP(P280,'Probabilities &amp; Price Slide'!$H$20:$N$23,5, TRUE)</f>
        <v>-9.4798772739497356E-2</v>
      </c>
      <c r="S280" s="78">
        <f>VLOOKUP(P280,'Probabilities &amp; Price Slide'!$H$20:$N$23,6, TRUE)</f>
        <v>-4.7674964197479769E-2</v>
      </c>
      <c r="T280" s="78">
        <f>VLOOKUP(P280,'Probabilities &amp; Price Slide'!$H$20:$N$23,7, TRUE)</f>
        <v>-4.7674964197479769E-2</v>
      </c>
    </row>
    <row r="281" spans="16:20" x14ac:dyDescent="0.3">
      <c r="P281" s="43">
        <v>661</v>
      </c>
      <c r="Q281" s="78">
        <f>VLOOKUP(P281,'Probabilities &amp; Price Slide'!$H$20:$N$23,4, TRUE)</f>
        <v>-0.14247373693697712</v>
      </c>
      <c r="R281" s="78">
        <f>VLOOKUP(P281,'Probabilities &amp; Price Slide'!$H$20:$N$23,5, TRUE)</f>
        <v>-9.4798772739497356E-2</v>
      </c>
      <c r="S281" s="78">
        <f>VLOOKUP(P281,'Probabilities &amp; Price Slide'!$H$20:$N$23,6, TRUE)</f>
        <v>-4.7674964197479769E-2</v>
      </c>
      <c r="T281" s="78">
        <f>VLOOKUP(P281,'Probabilities &amp; Price Slide'!$H$20:$N$23,7, TRUE)</f>
        <v>-4.7674964197479769E-2</v>
      </c>
    </row>
    <row r="282" spans="16:20" x14ac:dyDescent="0.3">
      <c r="P282" s="43">
        <v>662</v>
      </c>
      <c r="Q282" s="78">
        <f>VLOOKUP(P282,'Probabilities &amp; Price Slide'!$H$20:$N$23,4, TRUE)</f>
        <v>-0.14247373693697712</v>
      </c>
      <c r="R282" s="78">
        <f>VLOOKUP(P282,'Probabilities &amp; Price Slide'!$H$20:$N$23,5, TRUE)</f>
        <v>-9.4798772739497356E-2</v>
      </c>
      <c r="S282" s="78">
        <f>VLOOKUP(P282,'Probabilities &amp; Price Slide'!$H$20:$N$23,6, TRUE)</f>
        <v>-4.7674964197479769E-2</v>
      </c>
      <c r="T282" s="78">
        <f>VLOOKUP(P282,'Probabilities &amp; Price Slide'!$H$20:$N$23,7, TRUE)</f>
        <v>-4.7674964197479769E-2</v>
      </c>
    </row>
    <row r="283" spans="16:20" x14ac:dyDescent="0.3">
      <c r="P283" s="43">
        <v>663</v>
      </c>
      <c r="Q283" s="78">
        <f>VLOOKUP(P283,'Probabilities &amp; Price Slide'!$H$20:$N$23,4, TRUE)</f>
        <v>-0.14247373693697712</v>
      </c>
      <c r="R283" s="78">
        <f>VLOOKUP(P283,'Probabilities &amp; Price Slide'!$H$20:$N$23,5, TRUE)</f>
        <v>-9.4798772739497356E-2</v>
      </c>
      <c r="S283" s="78">
        <f>VLOOKUP(P283,'Probabilities &amp; Price Slide'!$H$20:$N$23,6, TRUE)</f>
        <v>-4.7674964197479769E-2</v>
      </c>
      <c r="T283" s="78">
        <f>VLOOKUP(P283,'Probabilities &amp; Price Slide'!$H$20:$N$23,7, TRUE)</f>
        <v>-4.7674964197479769E-2</v>
      </c>
    </row>
    <row r="284" spans="16:20" x14ac:dyDescent="0.3">
      <c r="P284" s="43">
        <v>664</v>
      </c>
      <c r="Q284" s="78">
        <f>VLOOKUP(P284,'Probabilities &amp; Price Slide'!$H$20:$N$23,4, TRUE)</f>
        <v>-0.14247373693697712</v>
      </c>
      <c r="R284" s="78">
        <f>VLOOKUP(P284,'Probabilities &amp; Price Slide'!$H$20:$N$23,5, TRUE)</f>
        <v>-9.4798772739497356E-2</v>
      </c>
      <c r="S284" s="78">
        <f>VLOOKUP(P284,'Probabilities &amp; Price Slide'!$H$20:$N$23,6, TRUE)</f>
        <v>-4.7674964197479769E-2</v>
      </c>
      <c r="T284" s="78">
        <f>VLOOKUP(P284,'Probabilities &amp; Price Slide'!$H$20:$N$23,7, TRUE)</f>
        <v>-4.7674964197479769E-2</v>
      </c>
    </row>
    <row r="285" spans="16:20" x14ac:dyDescent="0.3">
      <c r="P285" s="43">
        <v>665</v>
      </c>
      <c r="Q285" s="78">
        <f>VLOOKUP(P285,'Probabilities &amp; Price Slide'!$H$20:$N$23,4, TRUE)</f>
        <v>-0.14247373693697712</v>
      </c>
      <c r="R285" s="78">
        <f>VLOOKUP(P285,'Probabilities &amp; Price Slide'!$H$20:$N$23,5, TRUE)</f>
        <v>-9.4798772739497356E-2</v>
      </c>
      <c r="S285" s="78">
        <f>VLOOKUP(P285,'Probabilities &amp; Price Slide'!$H$20:$N$23,6, TRUE)</f>
        <v>-4.7674964197479769E-2</v>
      </c>
      <c r="T285" s="78">
        <f>VLOOKUP(P285,'Probabilities &amp; Price Slide'!$H$20:$N$23,7, TRUE)</f>
        <v>-4.7674964197479769E-2</v>
      </c>
    </row>
    <row r="286" spans="16:20" x14ac:dyDescent="0.3">
      <c r="P286" s="43">
        <v>666</v>
      </c>
      <c r="Q286" s="78">
        <f>VLOOKUP(P286,'Probabilities &amp; Price Slide'!$H$20:$N$23,4, TRUE)</f>
        <v>-0.14247373693697712</v>
      </c>
      <c r="R286" s="78">
        <f>VLOOKUP(P286,'Probabilities &amp; Price Slide'!$H$20:$N$23,5, TRUE)</f>
        <v>-9.4798772739497356E-2</v>
      </c>
      <c r="S286" s="78">
        <f>VLOOKUP(P286,'Probabilities &amp; Price Slide'!$H$20:$N$23,6, TRUE)</f>
        <v>-4.7674964197479769E-2</v>
      </c>
      <c r="T286" s="78">
        <f>VLOOKUP(P286,'Probabilities &amp; Price Slide'!$H$20:$N$23,7, TRUE)</f>
        <v>-4.7674964197479769E-2</v>
      </c>
    </row>
    <row r="287" spans="16:20" x14ac:dyDescent="0.3">
      <c r="P287" s="43">
        <v>667</v>
      </c>
      <c r="Q287" s="78">
        <f>VLOOKUP(P287,'Probabilities &amp; Price Slide'!$H$20:$N$23,4, TRUE)</f>
        <v>-0.14247373693697712</v>
      </c>
      <c r="R287" s="78">
        <f>VLOOKUP(P287,'Probabilities &amp; Price Slide'!$H$20:$N$23,5, TRUE)</f>
        <v>-9.4798772739497356E-2</v>
      </c>
      <c r="S287" s="78">
        <f>VLOOKUP(P287,'Probabilities &amp; Price Slide'!$H$20:$N$23,6, TRUE)</f>
        <v>-4.7674964197479769E-2</v>
      </c>
      <c r="T287" s="78">
        <f>VLOOKUP(P287,'Probabilities &amp; Price Slide'!$H$20:$N$23,7, TRUE)</f>
        <v>-4.7674964197479769E-2</v>
      </c>
    </row>
    <row r="288" spans="16:20" x14ac:dyDescent="0.3">
      <c r="P288" s="43">
        <v>668</v>
      </c>
      <c r="Q288" s="78">
        <f>VLOOKUP(P288,'Probabilities &amp; Price Slide'!$H$20:$N$23,4, TRUE)</f>
        <v>-0.14247373693697712</v>
      </c>
      <c r="R288" s="78">
        <f>VLOOKUP(P288,'Probabilities &amp; Price Slide'!$H$20:$N$23,5, TRUE)</f>
        <v>-9.4798772739497356E-2</v>
      </c>
      <c r="S288" s="78">
        <f>VLOOKUP(P288,'Probabilities &amp; Price Slide'!$H$20:$N$23,6, TRUE)</f>
        <v>-4.7674964197479769E-2</v>
      </c>
      <c r="T288" s="78">
        <f>VLOOKUP(P288,'Probabilities &amp; Price Slide'!$H$20:$N$23,7, TRUE)</f>
        <v>-4.7674964197479769E-2</v>
      </c>
    </row>
    <row r="289" spans="16:20" x14ac:dyDescent="0.3">
      <c r="P289" s="43">
        <v>669</v>
      </c>
      <c r="Q289" s="78">
        <f>VLOOKUP(P289,'Probabilities &amp; Price Slide'!$H$20:$N$23,4, TRUE)</f>
        <v>-0.14247373693697712</v>
      </c>
      <c r="R289" s="78">
        <f>VLOOKUP(P289,'Probabilities &amp; Price Slide'!$H$20:$N$23,5, TRUE)</f>
        <v>-9.4798772739497356E-2</v>
      </c>
      <c r="S289" s="78">
        <f>VLOOKUP(P289,'Probabilities &amp; Price Slide'!$H$20:$N$23,6, TRUE)</f>
        <v>-4.7674964197479769E-2</v>
      </c>
      <c r="T289" s="78">
        <f>VLOOKUP(P289,'Probabilities &amp; Price Slide'!$H$20:$N$23,7, TRUE)</f>
        <v>-4.7674964197479769E-2</v>
      </c>
    </row>
    <row r="290" spans="16:20" x14ac:dyDescent="0.3">
      <c r="P290" s="43">
        <v>670</v>
      </c>
      <c r="Q290" s="78">
        <f>VLOOKUP(P290,'Probabilities &amp; Price Slide'!$H$20:$N$23,4, TRUE)</f>
        <v>-0.14247373693697712</v>
      </c>
      <c r="R290" s="78">
        <f>VLOOKUP(P290,'Probabilities &amp; Price Slide'!$H$20:$N$23,5, TRUE)</f>
        <v>-9.4798772739497356E-2</v>
      </c>
      <c r="S290" s="78">
        <f>VLOOKUP(P290,'Probabilities &amp; Price Slide'!$H$20:$N$23,6, TRUE)</f>
        <v>-4.7674964197479769E-2</v>
      </c>
      <c r="T290" s="78">
        <f>VLOOKUP(P290,'Probabilities &amp; Price Slide'!$H$20:$N$23,7, TRUE)</f>
        <v>-4.7674964197479769E-2</v>
      </c>
    </row>
    <row r="291" spans="16:20" x14ac:dyDescent="0.3">
      <c r="P291" s="43">
        <v>671</v>
      </c>
      <c r="Q291" s="78">
        <f>VLOOKUP(P291,'Probabilities &amp; Price Slide'!$H$20:$N$23,4, TRUE)</f>
        <v>-0.14247373693697712</v>
      </c>
      <c r="R291" s="78">
        <f>VLOOKUP(P291,'Probabilities &amp; Price Slide'!$H$20:$N$23,5, TRUE)</f>
        <v>-9.4798772739497356E-2</v>
      </c>
      <c r="S291" s="78">
        <f>VLOOKUP(P291,'Probabilities &amp; Price Slide'!$H$20:$N$23,6, TRUE)</f>
        <v>-4.7674964197479769E-2</v>
      </c>
      <c r="T291" s="78">
        <f>VLOOKUP(P291,'Probabilities &amp; Price Slide'!$H$20:$N$23,7, TRUE)</f>
        <v>-4.7674964197479769E-2</v>
      </c>
    </row>
    <row r="292" spans="16:20" x14ac:dyDescent="0.3">
      <c r="P292" s="43">
        <v>672</v>
      </c>
      <c r="Q292" s="78">
        <f>VLOOKUP(P292,'Probabilities &amp; Price Slide'!$H$20:$N$23,4, TRUE)</f>
        <v>-0.14247373693697712</v>
      </c>
      <c r="R292" s="78">
        <f>VLOOKUP(P292,'Probabilities &amp; Price Slide'!$H$20:$N$23,5, TRUE)</f>
        <v>-9.4798772739497356E-2</v>
      </c>
      <c r="S292" s="78">
        <f>VLOOKUP(P292,'Probabilities &amp; Price Slide'!$H$20:$N$23,6, TRUE)</f>
        <v>-4.7674964197479769E-2</v>
      </c>
      <c r="T292" s="78">
        <f>VLOOKUP(P292,'Probabilities &amp; Price Slide'!$H$20:$N$23,7, TRUE)</f>
        <v>-4.7674964197479769E-2</v>
      </c>
    </row>
    <row r="293" spans="16:20" x14ac:dyDescent="0.3">
      <c r="P293" s="43">
        <v>673</v>
      </c>
      <c r="Q293" s="78">
        <f>VLOOKUP(P293,'Probabilities &amp; Price Slide'!$H$20:$N$23,4, TRUE)</f>
        <v>-0.14247373693697712</v>
      </c>
      <c r="R293" s="78">
        <f>VLOOKUP(P293,'Probabilities &amp; Price Slide'!$H$20:$N$23,5, TRUE)</f>
        <v>-9.4798772739497356E-2</v>
      </c>
      <c r="S293" s="78">
        <f>VLOOKUP(P293,'Probabilities &amp; Price Slide'!$H$20:$N$23,6, TRUE)</f>
        <v>-4.7674964197479769E-2</v>
      </c>
      <c r="T293" s="78">
        <f>VLOOKUP(P293,'Probabilities &amp; Price Slide'!$H$20:$N$23,7, TRUE)</f>
        <v>-4.7674964197479769E-2</v>
      </c>
    </row>
    <row r="294" spans="16:20" x14ac:dyDescent="0.3">
      <c r="P294" s="43">
        <v>674</v>
      </c>
      <c r="Q294" s="78">
        <f>VLOOKUP(P294,'Probabilities &amp; Price Slide'!$H$20:$N$23,4, TRUE)</f>
        <v>-0.14247373693697712</v>
      </c>
      <c r="R294" s="78">
        <f>VLOOKUP(P294,'Probabilities &amp; Price Slide'!$H$20:$N$23,5, TRUE)</f>
        <v>-9.4798772739497356E-2</v>
      </c>
      <c r="S294" s="78">
        <f>VLOOKUP(P294,'Probabilities &amp; Price Slide'!$H$20:$N$23,6, TRUE)</f>
        <v>-4.7674964197479769E-2</v>
      </c>
      <c r="T294" s="78">
        <f>VLOOKUP(P294,'Probabilities &amp; Price Slide'!$H$20:$N$23,7, TRUE)</f>
        <v>-4.7674964197479769E-2</v>
      </c>
    </row>
    <row r="295" spans="16:20" x14ac:dyDescent="0.3">
      <c r="P295" s="43">
        <v>675</v>
      </c>
      <c r="Q295" s="78">
        <f>VLOOKUP(P295,'Probabilities &amp; Price Slide'!$H$20:$N$23,4, TRUE)</f>
        <v>-0.14247373693697712</v>
      </c>
      <c r="R295" s="78">
        <f>VLOOKUP(P295,'Probabilities &amp; Price Slide'!$H$20:$N$23,5, TRUE)</f>
        <v>-9.4798772739497356E-2</v>
      </c>
      <c r="S295" s="78">
        <f>VLOOKUP(P295,'Probabilities &amp; Price Slide'!$H$20:$N$23,6, TRUE)</f>
        <v>-4.7674964197479769E-2</v>
      </c>
      <c r="T295" s="78">
        <f>VLOOKUP(P295,'Probabilities &amp; Price Slide'!$H$20:$N$23,7, TRUE)</f>
        <v>-4.7674964197479769E-2</v>
      </c>
    </row>
    <row r="296" spans="16:20" x14ac:dyDescent="0.3">
      <c r="P296" s="43">
        <v>676</v>
      </c>
      <c r="Q296" s="78">
        <f>VLOOKUP(P296,'Probabilities &amp; Price Slide'!$H$20:$N$23,4, TRUE)</f>
        <v>-0.14247373693697712</v>
      </c>
      <c r="R296" s="78">
        <f>VLOOKUP(P296,'Probabilities &amp; Price Slide'!$H$20:$N$23,5, TRUE)</f>
        <v>-9.4798772739497356E-2</v>
      </c>
      <c r="S296" s="78">
        <f>VLOOKUP(P296,'Probabilities &amp; Price Slide'!$H$20:$N$23,6, TRUE)</f>
        <v>-4.7674964197479769E-2</v>
      </c>
      <c r="T296" s="78">
        <f>VLOOKUP(P296,'Probabilities &amp; Price Slide'!$H$20:$N$23,7, TRUE)</f>
        <v>-4.7674964197479769E-2</v>
      </c>
    </row>
    <row r="297" spans="16:20" x14ac:dyDescent="0.3">
      <c r="P297" s="43">
        <v>677</v>
      </c>
      <c r="Q297" s="78">
        <f>VLOOKUP(P297,'Probabilities &amp; Price Slide'!$H$20:$N$23,4, TRUE)</f>
        <v>-0.14247373693697712</v>
      </c>
      <c r="R297" s="78">
        <f>VLOOKUP(P297,'Probabilities &amp; Price Slide'!$H$20:$N$23,5, TRUE)</f>
        <v>-9.4798772739497356E-2</v>
      </c>
      <c r="S297" s="78">
        <f>VLOOKUP(P297,'Probabilities &amp; Price Slide'!$H$20:$N$23,6, TRUE)</f>
        <v>-4.7674964197479769E-2</v>
      </c>
      <c r="T297" s="78">
        <f>VLOOKUP(P297,'Probabilities &amp; Price Slide'!$H$20:$N$23,7, TRUE)</f>
        <v>-4.7674964197479769E-2</v>
      </c>
    </row>
    <row r="298" spans="16:20" x14ac:dyDescent="0.3">
      <c r="P298" s="43">
        <v>678</v>
      </c>
      <c r="Q298" s="78">
        <f>VLOOKUP(P298,'Probabilities &amp; Price Slide'!$H$20:$N$23,4, TRUE)</f>
        <v>-0.14247373693697712</v>
      </c>
      <c r="R298" s="78">
        <f>VLOOKUP(P298,'Probabilities &amp; Price Slide'!$H$20:$N$23,5, TRUE)</f>
        <v>-9.4798772739497356E-2</v>
      </c>
      <c r="S298" s="78">
        <f>VLOOKUP(P298,'Probabilities &amp; Price Slide'!$H$20:$N$23,6, TRUE)</f>
        <v>-4.7674964197479769E-2</v>
      </c>
      <c r="T298" s="78">
        <f>VLOOKUP(P298,'Probabilities &amp; Price Slide'!$H$20:$N$23,7, TRUE)</f>
        <v>-4.7674964197479769E-2</v>
      </c>
    </row>
    <row r="299" spans="16:20" x14ac:dyDescent="0.3">
      <c r="P299" s="43">
        <v>679</v>
      </c>
      <c r="Q299" s="78">
        <f>VLOOKUP(P299,'Probabilities &amp; Price Slide'!$H$20:$N$23,4, TRUE)</f>
        <v>-0.14247373693697712</v>
      </c>
      <c r="R299" s="78">
        <f>VLOOKUP(P299,'Probabilities &amp; Price Slide'!$H$20:$N$23,5, TRUE)</f>
        <v>-9.4798772739497356E-2</v>
      </c>
      <c r="S299" s="78">
        <f>VLOOKUP(P299,'Probabilities &amp; Price Slide'!$H$20:$N$23,6, TRUE)</f>
        <v>-4.7674964197479769E-2</v>
      </c>
      <c r="T299" s="78">
        <f>VLOOKUP(P299,'Probabilities &amp; Price Slide'!$H$20:$N$23,7, TRUE)</f>
        <v>-4.7674964197479769E-2</v>
      </c>
    </row>
    <row r="300" spans="16:20" x14ac:dyDescent="0.3">
      <c r="P300" s="43">
        <v>680</v>
      </c>
      <c r="Q300" s="78">
        <f>VLOOKUP(P300,'Probabilities &amp; Price Slide'!$H$20:$N$23,4, TRUE)</f>
        <v>-0.14247373693697712</v>
      </c>
      <c r="R300" s="78">
        <f>VLOOKUP(P300,'Probabilities &amp; Price Slide'!$H$20:$N$23,5, TRUE)</f>
        <v>-9.4798772739497356E-2</v>
      </c>
      <c r="S300" s="78">
        <f>VLOOKUP(P300,'Probabilities &amp; Price Slide'!$H$20:$N$23,6, TRUE)</f>
        <v>-4.7674964197479769E-2</v>
      </c>
      <c r="T300" s="78">
        <f>VLOOKUP(P300,'Probabilities &amp; Price Slide'!$H$20:$N$23,7, TRUE)</f>
        <v>-4.7674964197479769E-2</v>
      </c>
    </row>
    <row r="301" spans="16:20" x14ac:dyDescent="0.3">
      <c r="P301" s="43">
        <v>681</v>
      </c>
      <c r="Q301" s="78">
        <f>VLOOKUP(P301,'Probabilities &amp; Price Slide'!$H$20:$N$23,4, TRUE)</f>
        <v>-0.14247373693697712</v>
      </c>
      <c r="R301" s="78">
        <f>VLOOKUP(P301,'Probabilities &amp; Price Slide'!$H$20:$N$23,5, TRUE)</f>
        <v>-9.4798772739497356E-2</v>
      </c>
      <c r="S301" s="78">
        <f>VLOOKUP(P301,'Probabilities &amp; Price Slide'!$H$20:$N$23,6, TRUE)</f>
        <v>-4.7674964197479769E-2</v>
      </c>
      <c r="T301" s="78">
        <f>VLOOKUP(P301,'Probabilities &amp; Price Slide'!$H$20:$N$23,7, TRUE)</f>
        <v>-4.7674964197479769E-2</v>
      </c>
    </row>
    <row r="302" spans="16:20" x14ac:dyDescent="0.3">
      <c r="P302" s="43">
        <v>682</v>
      </c>
      <c r="Q302" s="78">
        <f>VLOOKUP(P302,'Probabilities &amp; Price Slide'!$H$20:$N$23,4, TRUE)</f>
        <v>-0.14247373693697712</v>
      </c>
      <c r="R302" s="78">
        <f>VLOOKUP(P302,'Probabilities &amp; Price Slide'!$H$20:$N$23,5, TRUE)</f>
        <v>-9.4798772739497356E-2</v>
      </c>
      <c r="S302" s="78">
        <f>VLOOKUP(P302,'Probabilities &amp; Price Slide'!$H$20:$N$23,6, TRUE)</f>
        <v>-4.7674964197479769E-2</v>
      </c>
      <c r="T302" s="78">
        <f>VLOOKUP(P302,'Probabilities &amp; Price Slide'!$H$20:$N$23,7, TRUE)</f>
        <v>-4.7674964197479769E-2</v>
      </c>
    </row>
    <row r="303" spans="16:20" x14ac:dyDescent="0.3">
      <c r="P303" s="43">
        <v>683</v>
      </c>
      <c r="Q303" s="78">
        <f>VLOOKUP(P303,'Probabilities &amp; Price Slide'!$H$20:$N$23,4, TRUE)</f>
        <v>-0.14247373693697712</v>
      </c>
      <c r="R303" s="78">
        <f>VLOOKUP(P303,'Probabilities &amp; Price Slide'!$H$20:$N$23,5, TRUE)</f>
        <v>-9.4798772739497356E-2</v>
      </c>
      <c r="S303" s="78">
        <f>VLOOKUP(P303,'Probabilities &amp; Price Slide'!$H$20:$N$23,6, TRUE)</f>
        <v>-4.7674964197479769E-2</v>
      </c>
      <c r="T303" s="78">
        <f>VLOOKUP(P303,'Probabilities &amp; Price Slide'!$H$20:$N$23,7, TRUE)</f>
        <v>-4.7674964197479769E-2</v>
      </c>
    </row>
    <row r="304" spans="16:20" x14ac:dyDescent="0.3">
      <c r="P304" s="43">
        <v>684</v>
      </c>
      <c r="Q304" s="78">
        <f>VLOOKUP(P304,'Probabilities &amp; Price Slide'!$H$20:$N$23,4, TRUE)</f>
        <v>-0.14247373693697712</v>
      </c>
      <c r="R304" s="78">
        <f>VLOOKUP(P304,'Probabilities &amp; Price Slide'!$H$20:$N$23,5, TRUE)</f>
        <v>-9.4798772739497356E-2</v>
      </c>
      <c r="S304" s="78">
        <f>VLOOKUP(P304,'Probabilities &amp; Price Slide'!$H$20:$N$23,6, TRUE)</f>
        <v>-4.7674964197479769E-2</v>
      </c>
      <c r="T304" s="78">
        <f>VLOOKUP(P304,'Probabilities &amp; Price Slide'!$H$20:$N$23,7, TRUE)</f>
        <v>-4.7674964197479769E-2</v>
      </c>
    </row>
    <row r="305" spans="16:20" x14ac:dyDescent="0.3">
      <c r="P305" s="43">
        <v>685</v>
      </c>
      <c r="Q305" s="78">
        <f>VLOOKUP(P305,'Probabilities &amp; Price Slide'!$H$20:$N$23,4, TRUE)</f>
        <v>-0.14247373693697712</v>
      </c>
      <c r="R305" s="78">
        <f>VLOOKUP(P305,'Probabilities &amp; Price Slide'!$H$20:$N$23,5, TRUE)</f>
        <v>-9.4798772739497356E-2</v>
      </c>
      <c r="S305" s="78">
        <f>VLOOKUP(P305,'Probabilities &amp; Price Slide'!$H$20:$N$23,6, TRUE)</f>
        <v>-4.7674964197479769E-2</v>
      </c>
      <c r="T305" s="78">
        <f>VLOOKUP(P305,'Probabilities &amp; Price Slide'!$H$20:$N$23,7, TRUE)</f>
        <v>-4.7674964197479769E-2</v>
      </c>
    </row>
    <row r="306" spans="16:20" x14ac:dyDescent="0.3">
      <c r="P306" s="43">
        <v>686</v>
      </c>
      <c r="Q306" s="78">
        <f>VLOOKUP(P306,'Probabilities &amp; Price Slide'!$H$20:$N$23,4, TRUE)</f>
        <v>-0.14247373693697712</v>
      </c>
      <c r="R306" s="78">
        <f>VLOOKUP(P306,'Probabilities &amp; Price Slide'!$H$20:$N$23,5, TRUE)</f>
        <v>-9.4798772739497356E-2</v>
      </c>
      <c r="S306" s="78">
        <f>VLOOKUP(P306,'Probabilities &amp; Price Slide'!$H$20:$N$23,6, TRUE)</f>
        <v>-4.7674964197479769E-2</v>
      </c>
      <c r="T306" s="78">
        <f>VLOOKUP(P306,'Probabilities &amp; Price Slide'!$H$20:$N$23,7, TRUE)</f>
        <v>-4.7674964197479769E-2</v>
      </c>
    </row>
    <row r="307" spans="16:20" x14ac:dyDescent="0.3">
      <c r="P307" s="43">
        <v>687</v>
      </c>
      <c r="Q307" s="78">
        <f>VLOOKUP(P307,'Probabilities &amp; Price Slide'!$H$20:$N$23,4, TRUE)</f>
        <v>-0.14247373693697712</v>
      </c>
      <c r="R307" s="78">
        <f>VLOOKUP(P307,'Probabilities &amp; Price Slide'!$H$20:$N$23,5, TRUE)</f>
        <v>-9.4798772739497356E-2</v>
      </c>
      <c r="S307" s="78">
        <f>VLOOKUP(P307,'Probabilities &amp; Price Slide'!$H$20:$N$23,6, TRUE)</f>
        <v>-4.7674964197479769E-2</v>
      </c>
      <c r="T307" s="78">
        <f>VLOOKUP(P307,'Probabilities &amp; Price Slide'!$H$20:$N$23,7, TRUE)</f>
        <v>-4.7674964197479769E-2</v>
      </c>
    </row>
    <row r="308" spans="16:20" x14ac:dyDescent="0.3">
      <c r="P308" s="43">
        <v>688</v>
      </c>
      <c r="Q308" s="78">
        <f>VLOOKUP(P308,'Probabilities &amp; Price Slide'!$H$20:$N$23,4, TRUE)</f>
        <v>-0.14247373693697712</v>
      </c>
      <c r="R308" s="78">
        <f>VLOOKUP(P308,'Probabilities &amp; Price Slide'!$H$20:$N$23,5, TRUE)</f>
        <v>-9.4798772739497356E-2</v>
      </c>
      <c r="S308" s="78">
        <f>VLOOKUP(P308,'Probabilities &amp; Price Slide'!$H$20:$N$23,6, TRUE)</f>
        <v>-4.7674964197479769E-2</v>
      </c>
      <c r="T308" s="78">
        <f>VLOOKUP(P308,'Probabilities &amp; Price Slide'!$H$20:$N$23,7, TRUE)</f>
        <v>-4.7674964197479769E-2</v>
      </c>
    </row>
    <row r="309" spans="16:20" x14ac:dyDescent="0.3">
      <c r="P309" s="43">
        <v>689</v>
      </c>
      <c r="Q309" s="78">
        <f>VLOOKUP(P309,'Probabilities &amp; Price Slide'!$H$20:$N$23,4, TRUE)</f>
        <v>-0.14247373693697712</v>
      </c>
      <c r="R309" s="78">
        <f>VLOOKUP(P309,'Probabilities &amp; Price Slide'!$H$20:$N$23,5, TRUE)</f>
        <v>-9.4798772739497356E-2</v>
      </c>
      <c r="S309" s="78">
        <f>VLOOKUP(P309,'Probabilities &amp; Price Slide'!$H$20:$N$23,6, TRUE)</f>
        <v>-4.7674964197479769E-2</v>
      </c>
      <c r="T309" s="78">
        <f>VLOOKUP(P309,'Probabilities &amp; Price Slide'!$H$20:$N$23,7, TRUE)</f>
        <v>-4.7674964197479769E-2</v>
      </c>
    </row>
    <row r="310" spans="16:20" x14ac:dyDescent="0.3">
      <c r="P310" s="43">
        <v>690</v>
      </c>
      <c r="Q310" s="78">
        <f>VLOOKUP(P310,'Probabilities &amp; Price Slide'!$H$20:$N$23,4, TRUE)</f>
        <v>-0.14247373693697712</v>
      </c>
      <c r="R310" s="78">
        <f>VLOOKUP(P310,'Probabilities &amp; Price Slide'!$H$20:$N$23,5, TRUE)</f>
        <v>-9.4798772739497356E-2</v>
      </c>
      <c r="S310" s="78">
        <f>VLOOKUP(P310,'Probabilities &amp; Price Slide'!$H$20:$N$23,6, TRUE)</f>
        <v>-4.7674964197479769E-2</v>
      </c>
      <c r="T310" s="78">
        <f>VLOOKUP(P310,'Probabilities &amp; Price Slide'!$H$20:$N$23,7, TRUE)</f>
        <v>-4.7674964197479769E-2</v>
      </c>
    </row>
    <row r="311" spans="16:20" x14ac:dyDescent="0.3">
      <c r="P311" s="43">
        <v>691</v>
      </c>
      <c r="Q311" s="78">
        <f>VLOOKUP(P311,'Probabilities &amp; Price Slide'!$H$20:$N$23,4, TRUE)</f>
        <v>-0.14247373693697712</v>
      </c>
      <c r="R311" s="78">
        <f>VLOOKUP(P311,'Probabilities &amp; Price Slide'!$H$20:$N$23,5, TRUE)</f>
        <v>-9.4798772739497356E-2</v>
      </c>
      <c r="S311" s="78">
        <f>VLOOKUP(P311,'Probabilities &amp; Price Slide'!$H$20:$N$23,6, TRUE)</f>
        <v>-4.7674964197479769E-2</v>
      </c>
      <c r="T311" s="78">
        <f>VLOOKUP(P311,'Probabilities &amp; Price Slide'!$H$20:$N$23,7, TRUE)</f>
        <v>-4.7674964197479769E-2</v>
      </c>
    </row>
    <row r="312" spans="16:20" x14ac:dyDescent="0.3">
      <c r="P312" s="43">
        <v>692</v>
      </c>
      <c r="Q312" s="78">
        <f>VLOOKUP(P312,'Probabilities &amp; Price Slide'!$H$20:$N$23,4, TRUE)</f>
        <v>-0.14247373693697712</v>
      </c>
      <c r="R312" s="78">
        <f>VLOOKUP(P312,'Probabilities &amp; Price Slide'!$H$20:$N$23,5, TRUE)</f>
        <v>-9.4798772739497356E-2</v>
      </c>
      <c r="S312" s="78">
        <f>VLOOKUP(P312,'Probabilities &amp; Price Slide'!$H$20:$N$23,6, TRUE)</f>
        <v>-4.7674964197479769E-2</v>
      </c>
      <c r="T312" s="78">
        <f>VLOOKUP(P312,'Probabilities &amp; Price Slide'!$H$20:$N$23,7, TRUE)</f>
        <v>-4.7674964197479769E-2</v>
      </c>
    </row>
    <row r="313" spans="16:20" x14ac:dyDescent="0.3">
      <c r="P313" s="43">
        <v>693</v>
      </c>
      <c r="Q313" s="78">
        <f>VLOOKUP(P313,'Probabilities &amp; Price Slide'!$H$20:$N$23,4, TRUE)</f>
        <v>-0.14247373693697712</v>
      </c>
      <c r="R313" s="78">
        <f>VLOOKUP(P313,'Probabilities &amp; Price Slide'!$H$20:$N$23,5, TRUE)</f>
        <v>-9.4798772739497356E-2</v>
      </c>
      <c r="S313" s="78">
        <f>VLOOKUP(P313,'Probabilities &amp; Price Slide'!$H$20:$N$23,6, TRUE)</f>
        <v>-4.7674964197479769E-2</v>
      </c>
      <c r="T313" s="78">
        <f>VLOOKUP(P313,'Probabilities &amp; Price Slide'!$H$20:$N$23,7, TRUE)</f>
        <v>-4.7674964197479769E-2</v>
      </c>
    </row>
    <row r="314" spans="16:20" x14ac:dyDescent="0.3">
      <c r="P314" s="43">
        <v>694</v>
      </c>
      <c r="Q314" s="78">
        <f>VLOOKUP(P314,'Probabilities &amp; Price Slide'!$H$20:$N$23,4, TRUE)</f>
        <v>-0.14247373693697712</v>
      </c>
      <c r="R314" s="78">
        <f>VLOOKUP(P314,'Probabilities &amp; Price Slide'!$H$20:$N$23,5, TRUE)</f>
        <v>-9.4798772739497356E-2</v>
      </c>
      <c r="S314" s="78">
        <f>VLOOKUP(P314,'Probabilities &amp; Price Slide'!$H$20:$N$23,6, TRUE)</f>
        <v>-4.7674964197479769E-2</v>
      </c>
      <c r="T314" s="78">
        <f>VLOOKUP(P314,'Probabilities &amp; Price Slide'!$H$20:$N$23,7, TRUE)</f>
        <v>-4.7674964197479769E-2</v>
      </c>
    </row>
    <row r="315" spans="16:20" x14ac:dyDescent="0.3">
      <c r="P315" s="43">
        <v>695</v>
      </c>
      <c r="Q315" s="78">
        <f>VLOOKUP(P315,'Probabilities &amp; Price Slide'!$H$20:$N$23,4, TRUE)</f>
        <v>-0.14247373693697712</v>
      </c>
      <c r="R315" s="78">
        <f>VLOOKUP(P315,'Probabilities &amp; Price Slide'!$H$20:$N$23,5, TRUE)</f>
        <v>-9.4798772739497356E-2</v>
      </c>
      <c r="S315" s="78">
        <f>VLOOKUP(P315,'Probabilities &amp; Price Slide'!$H$20:$N$23,6, TRUE)</f>
        <v>-4.7674964197479769E-2</v>
      </c>
      <c r="T315" s="78">
        <f>VLOOKUP(P315,'Probabilities &amp; Price Slide'!$H$20:$N$23,7, TRUE)</f>
        <v>-4.7674964197479769E-2</v>
      </c>
    </row>
    <row r="316" spans="16:20" x14ac:dyDescent="0.3">
      <c r="P316" s="43">
        <v>696</v>
      </c>
      <c r="Q316" s="78">
        <f>VLOOKUP(P316,'Probabilities &amp; Price Slide'!$H$20:$N$23,4, TRUE)</f>
        <v>-0.14247373693697712</v>
      </c>
      <c r="R316" s="78">
        <f>VLOOKUP(P316,'Probabilities &amp; Price Slide'!$H$20:$N$23,5, TRUE)</f>
        <v>-9.4798772739497356E-2</v>
      </c>
      <c r="S316" s="78">
        <f>VLOOKUP(P316,'Probabilities &amp; Price Slide'!$H$20:$N$23,6, TRUE)</f>
        <v>-4.7674964197479769E-2</v>
      </c>
      <c r="T316" s="78">
        <f>VLOOKUP(P316,'Probabilities &amp; Price Slide'!$H$20:$N$23,7, TRUE)</f>
        <v>-4.7674964197479769E-2</v>
      </c>
    </row>
    <row r="317" spans="16:20" x14ac:dyDescent="0.3">
      <c r="P317" s="43">
        <v>697</v>
      </c>
      <c r="Q317" s="78">
        <f>VLOOKUP(P317,'Probabilities &amp; Price Slide'!$H$20:$N$23,4, TRUE)</f>
        <v>-0.14247373693697712</v>
      </c>
      <c r="R317" s="78">
        <f>VLOOKUP(P317,'Probabilities &amp; Price Slide'!$H$20:$N$23,5, TRUE)</f>
        <v>-9.4798772739497356E-2</v>
      </c>
      <c r="S317" s="78">
        <f>VLOOKUP(P317,'Probabilities &amp; Price Slide'!$H$20:$N$23,6, TRUE)</f>
        <v>-4.7674964197479769E-2</v>
      </c>
      <c r="T317" s="78">
        <f>VLOOKUP(P317,'Probabilities &amp; Price Slide'!$H$20:$N$23,7, TRUE)</f>
        <v>-4.7674964197479769E-2</v>
      </c>
    </row>
    <row r="318" spans="16:20" x14ac:dyDescent="0.3">
      <c r="P318" s="43">
        <v>698</v>
      </c>
      <c r="Q318" s="78">
        <f>VLOOKUP(P318,'Probabilities &amp; Price Slide'!$H$20:$N$23,4, TRUE)</f>
        <v>-0.14247373693697712</v>
      </c>
      <c r="R318" s="78">
        <f>VLOOKUP(P318,'Probabilities &amp; Price Slide'!$H$20:$N$23,5, TRUE)</f>
        <v>-9.4798772739497356E-2</v>
      </c>
      <c r="S318" s="78">
        <f>VLOOKUP(P318,'Probabilities &amp; Price Slide'!$H$20:$N$23,6, TRUE)</f>
        <v>-4.7674964197479769E-2</v>
      </c>
      <c r="T318" s="78">
        <f>VLOOKUP(P318,'Probabilities &amp; Price Slide'!$H$20:$N$23,7, TRUE)</f>
        <v>-4.7674964197479769E-2</v>
      </c>
    </row>
    <row r="319" spans="16:20" x14ac:dyDescent="0.3">
      <c r="P319" s="43">
        <v>699</v>
      </c>
      <c r="Q319" s="78">
        <f>VLOOKUP(P319,'Probabilities &amp; Price Slide'!$H$20:$N$23,4, TRUE)</f>
        <v>-0.14247373693697712</v>
      </c>
      <c r="R319" s="78">
        <f>VLOOKUP(P319,'Probabilities &amp; Price Slide'!$H$20:$N$23,5, TRUE)</f>
        <v>-9.4798772739497356E-2</v>
      </c>
      <c r="S319" s="78">
        <f>VLOOKUP(P319,'Probabilities &amp; Price Slide'!$H$20:$N$23,6, TRUE)</f>
        <v>-4.7674964197479769E-2</v>
      </c>
      <c r="T319" s="78">
        <f>VLOOKUP(P319,'Probabilities &amp; Price Slide'!$H$20:$N$23,7, TRUE)</f>
        <v>-4.7674964197479769E-2</v>
      </c>
    </row>
    <row r="320" spans="16:20" x14ac:dyDescent="0.3">
      <c r="P320" s="43">
        <v>700</v>
      </c>
      <c r="Q320" s="78">
        <f>VLOOKUP(P320,'Probabilities &amp; Price Slide'!$H$20:$N$23,4, TRUE)</f>
        <v>-0.14247373693697712</v>
      </c>
      <c r="R320" s="78">
        <f>VLOOKUP(P320,'Probabilities &amp; Price Slide'!$H$20:$N$23,5, TRUE)</f>
        <v>-9.4798772739497356E-2</v>
      </c>
      <c r="S320" s="78">
        <f>VLOOKUP(P320,'Probabilities &amp; Price Slide'!$H$20:$N$23,6, TRUE)</f>
        <v>-4.7674964197479769E-2</v>
      </c>
      <c r="T320" s="78">
        <f>VLOOKUP(P320,'Probabilities &amp; Price Slide'!$H$20:$N$23,7, TRUE)</f>
        <v>-4.7674964197479769E-2</v>
      </c>
    </row>
    <row r="321" spans="16:20" x14ac:dyDescent="0.3">
      <c r="P321" s="43">
        <v>701</v>
      </c>
      <c r="Q321" s="78">
        <f>VLOOKUP(P321,'Probabilities &amp; Price Slide'!$H$20:$N$23,4, TRUE)</f>
        <v>-0.14247373693697712</v>
      </c>
      <c r="R321" s="78">
        <f>VLOOKUP(P321,'Probabilities &amp; Price Slide'!$H$20:$N$23,5, TRUE)</f>
        <v>-9.4798772739497356E-2</v>
      </c>
      <c r="S321" s="78">
        <f>VLOOKUP(P321,'Probabilities &amp; Price Slide'!$H$20:$N$23,6, TRUE)</f>
        <v>-4.7674964197479769E-2</v>
      </c>
      <c r="T321" s="78">
        <f>VLOOKUP(P321,'Probabilities &amp; Price Slide'!$H$20:$N$23,7, TRUE)</f>
        <v>-4.7674964197479769E-2</v>
      </c>
    </row>
    <row r="322" spans="16:20" x14ac:dyDescent="0.3">
      <c r="P322" s="43">
        <v>702</v>
      </c>
      <c r="Q322" s="78">
        <f>VLOOKUP(P322,'Probabilities &amp; Price Slide'!$H$20:$N$23,4, TRUE)</f>
        <v>-0.14247373693697712</v>
      </c>
      <c r="R322" s="78">
        <f>VLOOKUP(P322,'Probabilities &amp; Price Slide'!$H$20:$N$23,5, TRUE)</f>
        <v>-9.4798772739497356E-2</v>
      </c>
      <c r="S322" s="78">
        <f>VLOOKUP(P322,'Probabilities &amp; Price Slide'!$H$20:$N$23,6, TRUE)</f>
        <v>-4.7674964197479769E-2</v>
      </c>
      <c r="T322" s="78">
        <f>VLOOKUP(P322,'Probabilities &amp; Price Slide'!$H$20:$N$23,7, TRUE)</f>
        <v>-4.7674964197479769E-2</v>
      </c>
    </row>
    <row r="323" spans="16:20" x14ac:dyDescent="0.3">
      <c r="P323" s="43">
        <v>703</v>
      </c>
      <c r="Q323" s="78">
        <f>VLOOKUP(P323,'Probabilities &amp; Price Slide'!$H$20:$N$23,4, TRUE)</f>
        <v>-0.14247373693697712</v>
      </c>
      <c r="R323" s="78">
        <f>VLOOKUP(P323,'Probabilities &amp; Price Slide'!$H$20:$N$23,5, TRUE)</f>
        <v>-9.4798772739497356E-2</v>
      </c>
      <c r="S323" s="78">
        <f>VLOOKUP(P323,'Probabilities &amp; Price Slide'!$H$20:$N$23,6, TRUE)</f>
        <v>-4.7674964197479769E-2</v>
      </c>
      <c r="T323" s="78">
        <f>VLOOKUP(P323,'Probabilities &amp; Price Slide'!$H$20:$N$23,7, TRUE)</f>
        <v>-4.7674964197479769E-2</v>
      </c>
    </row>
    <row r="324" spans="16:20" x14ac:dyDescent="0.3">
      <c r="P324" s="43">
        <v>704</v>
      </c>
      <c r="Q324" s="78">
        <f>VLOOKUP(P324,'Probabilities &amp; Price Slide'!$H$20:$N$23,4, TRUE)</f>
        <v>-0.14247373693697712</v>
      </c>
      <c r="R324" s="78">
        <f>VLOOKUP(P324,'Probabilities &amp; Price Slide'!$H$20:$N$23,5, TRUE)</f>
        <v>-9.4798772739497356E-2</v>
      </c>
      <c r="S324" s="78">
        <f>VLOOKUP(P324,'Probabilities &amp; Price Slide'!$H$20:$N$23,6, TRUE)</f>
        <v>-4.7674964197479769E-2</v>
      </c>
      <c r="T324" s="78">
        <f>VLOOKUP(P324,'Probabilities &amp; Price Slide'!$H$20:$N$23,7, TRUE)</f>
        <v>-4.7674964197479769E-2</v>
      </c>
    </row>
    <row r="325" spans="16:20" x14ac:dyDescent="0.3">
      <c r="P325" s="43">
        <v>705</v>
      </c>
      <c r="Q325" s="78">
        <f>VLOOKUP(P325,'Probabilities &amp; Price Slide'!$H$20:$N$23,4, TRUE)</f>
        <v>-0.14247373693697712</v>
      </c>
      <c r="R325" s="78">
        <f>VLOOKUP(P325,'Probabilities &amp; Price Slide'!$H$20:$N$23,5, TRUE)</f>
        <v>-9.4798772739497356E-2</v>
      </c>
      <c r="S325" s="78">
        <f>VLOOKUP(P325,'Probabilities &amp; Price Slide'!$H$20:$N$23,6, TRUE)</f>
        <v>-4.7674964197479769E-2</v>
      </c>
      <c r="T325" s="78">
        <f>VLOOKUP(P325,'Probabilities &amp; Price Slide'!$H$20:$N$23,7, TRUE)</f>
        <v>-4.7674964197479769E-2</v>
      </c>
    </row>
    <row r="326" spans="16:20" x14ac:dyDescent="0.3">
      <c r="P326" s="43">
        <v>706</v>
      </c>
      <c r="Q326" s="78">
        <f>VLOOKUP(P326,'Probabilities &amp; Price Slide'!$H$20:$N$23,4, TRUE)</f>
        <v>-0.14247373693697712</v>
      </c>
      <c r="R326" s="78">
        <f>VLOOKUP(P326,'Probabilities &amp; Price Slide'!$H$20:$N$23,5, TRUE)</f>
        <v>-9.4798772739497356E-2</v>
      </c>
      <c r="S326" s="78">
        <f>VLOOKUP(P326,'Probabilities &amp; Price Slide'!$H$20:$N$23,6, TRUE)</f>
        <v>-4.7674964197479769E-2</v>
      </c>
      <c r="T326" s="78">
        <f>VLOOKUP(P326,'Probabilities &amp; Price Slide'!$H$20:$N$23,7, TRUE)</f>
        <v>-4.7674964197479769E-2</v>
      </c>
    </row>
    <row r="327" spans="16:20" x14ac:dyDescent="0.3">
      <c r="P327" s="43">
        <v>707</v>
      </c>
      <c r="Q327" s="78">
        <f>VLOOKUP(P327,'Probabilities &amp; Price Slide'!$H$20:$N$23,4, TRUE)</f>
        <v>-0.14247373693697712</v>
      </c>
      <c r="R327" s="78">
        <f>VLOOKUP(P327,'Probabilities &amp; Price Slide'!$H$20:$N$23,5, TRUE)</f>
        <v>-9.4798772739497356E-2</v>
      </c>
      <c r="S327" s="78">
        <f>VLOOKUP(P327,'Probabilities &amp; Price Slide'!$H$20:$N$23,6, TRUE)</f>
        <v>-4.7674964197479769E-2</v>
      </c>
      <c r="T327" s="78">
        <f>VLOOKUP(P327,'Probabilities &amp; Price Slide'!$H$20:$N$23,7, TRUE)</f>
        <v>-4.7674964197479769E-2</v>
      </c>
    </row>
    <row r="328" spans="16:20" x14ac:dyDescent="0.3">
      <c r="P328" s="43">
        <v>708</v>
      </c>
      <c r="Q328" s="78">
        <f>VLOOKUP(P328,'Probabilities &amp; Price Slide'!$H$20:$N$23,4, TRUE)</f>
        <v>-0.14247373693697712</v>
      </c>
      <c r="R328" s="78">
        <f>VLOOKUP(P328,'Probabilities &amp; Price Slide'!$H$20:$N$23,5, TRUE)</f>
        <v>-9.4798772739497356E-2</v>
      </c>
      <c r="S328" s="78">
        <f>VLOOKUP(P328,'Probabilities &amp; Price Slide'!$H$20:$N$23,6, TRUE)</f>
        <v>-4.7674964197479769E-2</v>
      </c>
      <c r="T328" s="78">
        <f>VLOOKUP(P328,'Probabilities &amp; Price Slide'!$H$20:$N$23,7, TRUE)</f>
        <v>-4.7674964197479769E-2</v>
      </c>
    </row>
    <row r="329" spans="16:20" x14ac:dyDescent="0.3">
      <c r="P329" s="43">
        <v>709</v>
      </c>
      <c r="Q329" s="78">
        <f>VLOOKUP(P329,'Probabilities &amp; Price Slide'!$H$20:$N$23,4, TRUE)</f>
        <v>-0.14247373693697712</v>
      </c>
      <c r="R329" s="78">
        <f>VLOOKUP(P329,'Probabilities &amp; Price Slide'!$H$20:$N$23,5, TRUE)</f>
        <v>-9.4798772739497356E-2</v>
      </c>
      <c r="S329" s="78">
        <f>VLOOKUP(P329,'Probabilities &amp; Price Slide'!$H$20:$N$23,6, TRUE)</f>
        <v>-4.7674964197479769E-2</v>
      </c>
      <c r="T329" s="78">
        <f>VLOOKUP(P329,'Probabilities &amp; Price Slide'!$H$20:$N$23,7, TRUE)</f>
        <v>-4.7674964197479769E-2</v>
      </c>
    </row>
    <row r="330" spans="16:20" x14ac:dyDescent="0.3">
      <c r="P330" s="43">
        <v>710</v>
      </c>
      <c r="Q330" s="78">
        <f>VLOOKUP(P330,'Probabilities &amp; Price Slide'!$H$20:$N$23,4, TRUE)</f>
        <v>-0.14247373693697712</v>
      </c>
      <c r="R330" s="78">
        <f>VLOOKUP(P330,'Probabilities &amp; Price Slide'!$H$20:$N$23,5, TRUE)</f>
        <v>-9.4798772739497356E-2</v>
      </c>
      <c r="S330" s="78">
        <f>VLOOKUP(P330,'Probabilities &amp; Price Slide'!$H$20:$N$23,6, TRUE)</f>
        <v>-4.7674964197479769E-2</v>
      </c>
      <c r="T330" s="78">
        <f>VLOOKUP(P330,'Probabilities &amp; Price Slide'!$H$20:$N$23,7, TRUE)</f>
        <v>-4.7674964197479769E-2</v>
      </c>
    </row>
    <row r="331" spans="16:20" x14ac:dyDescent="0.3">
      <c r="P331" s="43">
        <v>711</v>
      </c>
      <c r="Q331" s="78">
        <f>VLOOKUP(P331,'Probabilities &amp; Price Slide'!$H$20:$N$23,4, TRUE)</f>
        <v>-0.14247373693697712</v>
      </c>
      <c r="R331" s="78">
        <f>VLOOKUP(P331,'Probabilities &amp; Price Slide'!$H$20:$N$23,5, TRUE)</f>
        <v>-9.4798772739497356E-2</v>
      </c>
      <c r="S331" s="78">
        <f>VLOOKUP(P331,'Probabilities &amp; Price Slide'!$H$20:$N$23,6, TRUE)</f>
        <v>-4.7674964197479769E-2</v>
      </c>
      <c r="T331" s="78">
        <f>VLOOKUP(P331,'Probabilities &amp; Price Slide'!$H$20:$N$23,7, TRUE)</f>
        <v>-4.7674964197479769E-2</v>
      </c>
    </row>
    <row r="332" spans="16:20" x14ac:dyDescent="0.3">
      <c r="P332" s="43">
        <v>712</v>
      </c>
      <c r="Q332" s="78">
        <f>VLOOKUP(P332,'Probabilities &amp; Price Slide'!$H$20:$N$23,4, TRUE)</f>
        <v>-0.14247373693697712</v>
      </c>
      <c r="R332" s="78">
        <f>VLOOKUP(P332,'Probabilities &amp; Price Slide'!$H$20:$N$23,5, TRUE)</f>
        <v>-9.4798772739497356E-2</v>
      </c>
      <c r="S332" s="78">
        <f>VLOOKUP(P332,'Probabilities &amp; Price Slide'!$H$20:$N$23,6, TRUE)</f>
        <v>-4.7674964197479769E-2</v>
      </c>
      <c r="T332" s="78">
        <f>VLOOKUP(P332,'Probabilities &amp; Price Slide'!$H$20:$N$23,7, TRUE)</f>
        <v>-4.7674964197479769E-2</v>
      </c>
    </row>
    <row r="333" spans="16:20" x14ac:dyDescent="0.3">
      <c r="P333" s="43">
        <v>713</v>
      </c>
      <c r="Q333" s="78">
        <f>VLOOKUP(P333,'Probabilities &amp; Price Slide'!$H$20:$N$23,4, TRUE)</f>
        <v>-0.14247373693697712</v>
      </c>
      <c r="R333" s="78">
        <f>VLOOKUP(P333,'Probabilities &amp; Price Slide'!$H$20:$N$23,5, TRUE)</f>
        <v>-9.4798772739497356E-2</v>
      </c>
      <c r="S333" s="78">
        <f>VLOOKUP(P333,'Probabilities &amp; Price Slide'!$H$20:$N$23,6, TRUE)</f>
        <v>-4.7674964197479769E-2</v>
      </c>
      <c r="T333" s="78">
        <f>VLOOKUP(P333,'Probabilities &amp; Price Slide'!$H$20:$N$23,7, TRUE)</f>
        <v>-4.7674964197479769E-2</v>
      </c>
    </row>
    <row r="334" spans="16:20" x14ac:dyDescent="0.3">
      <c r="P334" s="43">
        <v>714</v>
      </c>
      <c r="Q334" s="78">
        <f>VLOOKUP(P334,'Probabilities &amp; Price Slide'!$H$20:$N$23,4, TRUE)</f>
        <v>-0.14247373693697712</v>
      </c>
      <c r="R334" s="78">
        <f>VLOOKUP(P334,'Probabilities &amp; Price Slide'!$H$20:$N$23,5, TRUE)</f>
        <v>-9.4798772739497356E-2</v>
      </c>
      <c r="S334" s="78">
        <f>VLOOKUP(P334,'Probabilities &amp; Price Slide'!$H$20:$N$23,6, TRUE)</f>
        <v>-4.7674964197479769E-2</v>
      </c>
      <c r="T334" s="78">
        <f>VLOOKUP(P334,'Probabilities &amp; Price Slide'!$H$20:$N$23,7, TRUE)</f>
        <v>-4.7674964197479769E-2</v>
      </c>
    </row>
    <row r="335" spans="16:20" x14ac:dyDescent="0.3">
      <c r="P335" s="43">
        <v>715</v>
      </c>
      <c r="Q335" s="78">
        <f>VLOOKUP(P335,'Probabilities &amp; Price Slide'!$H$20:$N$23,4, TRUE)</f>
        <v>-0.14247373693697712</v>
      </c>
      <c r="R335" s="78">
        <f>VLOOKUP(P335,'Probabilities &amp; Price Slide'!$H$20:$N$23,5, TRUE)</f>
        <v>-9.4798772739497356E-2</v>
      </c>
      <c r="S335" s="78">
        <f>VLOOKUP(P335,'Probabilities &amp; Price Slide'!$H$20:$N$23,6, TRUE)</f>
        <v>-4.7674964197479769E-2</v>
      </c>
      <c r="T335" s="78">
        <f>VLOOKUP(P335,'Probabilities &amp; Price Slide'!$H$20:$N$23,7, TRUE)</f>
        <v>-4.7674964197479769E-2</v>
      </c>
    </row>
    <row r="336" spans="16:20" x14ac:dyDescent="0.3">
      <c r="P336" s="43">
        <v>716</v>
      </c>
      <c r="Q336" s="78">
        <f>VLOOKUP(P336,'Probabilities &amp; Price Slide'!$H$20:$N$23,4, TRUE)</f>
        <v>-0.14247373693697712</v>
      </c>
      <c r="R336" s="78">
        <f>VLOOKUP(P336,'Probabilities &amp; Price Slide'!$H$20:$N$23,5, TRUE)</f>
        <v>-9.4798772739497356E-2</v>
      </c>
      <c r="S336" s="78">
        <f>VLOOKUP(P336,'Probabilities &amp; Price Slide'!$H$20:$N$23,6, TRUE)</f>
        <v>-4.7674964197479769E-2</v>
      </c>
      <c r="T336" s="78">
        <f>VLOOKUP(P336,'Probabilities &amp; Price Slide'!$H$20:$N$23,7, TRUE)</f>
        <v>-4.7674964197479769E-2</v>
      </c>
    </row>
    <row r="337" spans="16:20" x14ac:dyDescent="0.3">
      <c r="P337" s="43">
        <v>717</v>
      </c>
      <c r="Q337" s="78">
        <f>VLOOKUP(P337,'Probabilities &amp; Price Slide'!$H$20:$N$23,4, TRUE)</f>
        <v>-0.14247373693697712</v>
      </c>
      <c r="R337" s="78">
        <f>VLOOKUP(P337,'Probabilities &amp; Price Slide'!$H$20:$N$23,5, TRUE)</f>
        <v>-9.4798772739497356E-2</v>
      </c>
      <c r="S337" s="78">
        <f>VLOOKUP(P337,'Probabilities &amp; Price Slide'!$H$20:$N$23,6, TRUE)</f>
        <v>-4.7674964197479769E-2</v>
      </c>
      <c r="T337" s="78">
        <f>VLOOKUP(P337,'Probabilities &amp; Price Slide'!$H$20:$N$23,7, TRUE)</f>
        <v>-4.7674964197479769E-2</v>
      </c>
    </row>
    <row r="338" spans="16:20" x14ac:dyDescent="0.3">
      <c r="P338" s="43">
        <v>718</v>
      </c>
      <c r="Q338" s="78">
        <f>VLOOKUP(P338,'Probabilities &amp; Price Slide'!$H$20:$N$23,4, TRUE)</f>
        <v>-0.14247373693697712</v>
      </c>
      <c r="R338" s="78">
        <f>VLOOKUP(P338,'Probabilities &amp; Price Slide'!$H$20:$N$23,5, TRUE)</f>
        <v>-9.4798772739497356E-2</v>
      </c>
      <c r="S338" s="78">
        <f>VLOOKUP(P338,'Probabilities &amp; Price Slide'!$H$20:$N$23,6, TRUE)</f>
        <v>-4.7674964197479769E-2</v>
      </c>
      <c r="T338" s="78">
        <f>VLOOKUP(P338,'Probabilities &amp; Price Slide'!$H$20:$N$23,7, TRUE)</f>
        <v>-4.7674964197479769E-2</v>
      </c>
    </row>
    <row r="339" spans="16:20" x14ac:dyDescent="0.3">
      <c r="P339" s="43">
        <v>719</v>
      </c>
      <c r="Q339" s="78">
        <f>VLOOKUP(P339,'Probabilities &amp; Price Slide'!$H$20:$N$23,4, TRUE)</f>
        <v>-0.14247373693697712</v>
      </c>
      <c r="R339" s="78">
        <f>VLOOKUP(P339,'Probabilities &amp; Price Slide'!$H$20:$N$23,5, TRUE)</f>
        <v>-9.4798772739497356E-2</v>
      </c>
      <c r="S339" s="78">
        <f>VLOOKUP(P339,'Probabilities &amp; Price Slide'!$H$20:$N$23,6, TRUE)</f>
        <v>-4.7674964197479769E-2</v>
      </c>
      <c r="T339" s="78">
        <f>VLOOKUP(P339,'Probabilities &amp; Price Slide'!$H$20:$N$23,7, TRUE)</f>
        <v>-4.7674964197479769E-2</v>
      </c>
    </row>
    <row r="340" spans="16:20" x14ac:dyDescent="0.3">
      <c r="P340" s="43">
        <v>720</v>
      </c>
      <c r="Q340" s="78">
        <f>VLOOKUP(P340,'Probabilities &amp; Price Slide'!$H$20:$N$23,4, TRUE)</f>
        <v>-0.14247373693697712</v>
      </c>
      <c r="R340" s="78">
        <f>VLOOKUP(P340,'Probabilities &amp; Price Slide'!$H$20:$N$23,5, TRUE)</f>
        <v>-9.4798772739497356E-2</v>
      </c>
      <c r="S340" s="78">
        <f>VLOOKUP(P340,'Probabilities &amp; Price Slide'!$H$20:$N$23,6, TRUE)</f>
        <v>-4.7674964197479769E-2</v>
      </c>
      <c r="T340" s="78">
        <f>VLOOKUP(P340,'Probabilities &amp; Price Slide'!$H$20:$N$23,7, TRUE)</f>
        <v>-4.7674964197479769E-2</v>
      </c>
    </row>
    <row r="341" spans="16:20" x14ac:dyDescent="0.3">
      <c r="P341" s="43">
        <v>721</v>
      </c>
      <c r="Q341" s="78">
        <f>VLOOKUP(P341,'Probabilities &amp; Price Slide'!$H$20:$N$23,4, TRUE)</f>
        <v>-0.14247373693697712</v>
      </c>
      <c r="R341" s="78">
        <f>VLOOKUP(P341,'Probabilities &amp; Price Slide'!$H$20:$N$23,5, TRUE)</f>
        <v>-9.4798772739497356E-2</v>
      </c>
      <c r="S341" s="78">
        <f>VLOOKUP(P341,'Probabilities &amp; Price Slide'!$H$20:$N$23,6, TRUE)</f>
        <v>-4.7674964197479769E-2</v>
      </c>
      <c r="T341" s="78">
        <f>VLOOKUP(P341,'Probabilities &amp; Price Slide'!$H$20:$N$23,7, TRUE)</f>
        <v>-4.7674964197479769E-2</v>
      </c>
    </row>
    <row r="342" spans="16:20" x14ac:dyDescent="0.3">
      <c r="P342" s="43">
        <v>722</v>
      </c>
      <c r="Q342" s="78">
        <f>VLOOKUP(P342,'Probabilities &amp; Price Slide'!$H$20:$N$23,4, TRUE)</f>
        <v>-0.14247373693697712</v>
      </c>
      <c r="R342" s="78">
        <f>VLOOKUP(P342,'Probabilities &amp; Price Slide'!$H$20:$N$23,5, TRUE)</f>
        <v>-9.4798772739497356E-2</v>
      </c>
      <c r="S342" s="78">
        <f>VLOOKUP(P342,'Probabilities &amp; Price Slide'!$H$20:$N$23,6, TRUE)</f>
        <v>-4.7674964197479769E-2</v>
      </c>
      <c r="T342" s="78">
        <f>VLOOKUP(P342,'Probabilities &amp; Price Slide'!$H$20:$N$23,7, TRUE)</f>
        <v>-4.7674964197479769E-2</v>
      </c>
    </row>
    <row r="343" spans="16:20" x14ac:dyDescent="0.3">
      <c r="P343" s="43">
        <v>723</v>
      </c>
      <c r="Q343" s="78">
        <f>VLOOKUP(P343,'Probabilities &amp; Price Slide'!$H$20:$N$23,4, TRUE)</f>
        <v>-0.14247373693697712</v>
      </c>
      <c r="R343" s="78">
        <f>VLOOKUP(P343,'Probabilities &amp; Price Slide'!$H$20:$N$23,5, TRUE)</f>
        <v>-9.4798772739497356E-2</v>
      </c>
      <c r="S343" s="78">
        <f>VLOOKUP(P343,'Probabilities &amp; Price Slide'!$H$20:$N$23,6, TRUE)</f>
        <v>-4.7674964197479769E-2</v>
      </c>
      <c r="T343" s="78">
        <f>VLOOKUP(P343,'Probabilities &amp; Price Slide'!$H$20:$N$23,7, TRUE)</f>
        <v>-4.7674964197479769E-2</v>
      </c>
    </row>
    <row r="344" spans="16:20" x14ac:dyDescent="0.3">
      <c r="P344" s="43">
        <v>724</v>
      </c>
      <c r="Q344" s="78">
        <f>VLOOKUP(P344,'Probabilities &amp; Price Slide'!$H$20:$N$23,4, TRUE)</f>
        <v>-0.14247373693697712</v>
      </c>
      <c r="R344" s="78">
        <f>VLOOKUP(P344,'Probabilities &amp; Price Slide'!$H$20:$N$23,5, TRUE)</f>
        <v>-9.4798772739497356E-2</v>
      </c>
      <c r="S344" s="78">
        <f>VLOOKUP(P344,'Probabilities &amp; Price Slide'!$H$20:$N$23,6, TRUE)</f>
        <v>-4.7674964197479769E-2</v>
      </c>
      <c r="T344" s="78">
        <f>VLOOKUP(P344,'Probabilities &amp; Price Slide'!$H$20:$N$23,7, TRUE)</f>
        <v>-4.7674964197479769E-2</v>
      </c>
    </row>
    <row r="345" spans="16:20" x14ac:dyDescent="0.3">
      <c r="P345" s="43">
        <v>725</v>
      </c>
      <c r="Q345" s="78">
        <f>VLOOKUP(P345,'Probabilities &amp; Price Slide'!$H$20:$N$23,4, TRUE)</f>
        <v>-0.14247373693697712</v>
      </c>
      <c r="R345" s="78">
        <f>VLOOKUP(P345,'Probabilities &amp; Price Slide'!$H$20:$N$23,5, TRUE)</f>
        <v>-9.4798772739497356E-2</v>
      </c>
      <c r="S345" s="78">
        <f>VLOOKUP(P345,'Probabilities &amp; Price Slide'!$H$20:$N$23,6, TRUE)</f>
        <v>-4.7674964197479769E-2</v>
      </c>
      <c r="T345" s="78">
        <f>VLOOKUP(P345,'Probabilities &amp; Price Slide'!$H$20:$N$23,7, TRUE)</f>
        <v>-4.7674964197479769E-2</v>
      </c>
    </row>
    <row r="346" spans="16:20" x14ac:dyDescent="0.3">
      <c r="P346" s="43">
        <v>726</v>
      </c>
      <c r="Q346" s="78">
        <f>VLOOKUP(P346,'Probabilities &amp; Price Slide'!$H$20:$N$23,4, TRUE)</f>
        <v>-0.14247373693697712</v>
      </c>
      <c r="R346" s="78">
        <f>VLOOKUP(P346,'Probabilities &amp; Price Slide'!$H$20:$N$23,5, TRUE)</f>
        <v>-9.4798772739497356E-2</v>
      </c>
      <c r="S346" s="78">
        <f>VLOOKUP(P346,'Probabilities &amp; Price Slide'!$H$20:$N$23,6, TRUE)</f>
        <v>-4.7674964197479769E-2</v>
      </c>
      <c r="T346" s="78">
        <f>VLOOKUP(P346,'Probabilities &amp; Price Slide'!$H$20:$N$23,7, TRUE)</f>
        <v>-4.7674964197479769E-2</v>
      </c>
    </row>
    <row r="347" spans="16:20" x14ac:dyDescent="0.3">
      <c r="P347" s="43">
        <v>727</v>
      </c>
      <c r="Q347" s="78">
        <f>VLOOKUP(P347,'Probabilities &amp; Price Slide'!$H$20:$N$23,4, TRUE)</f>
        <v>-0.14247373693697712</v>
      </c>
      <c r="R347" s="78">
        <f>VLOOKUP(P347,'Probabilities &amp; Price Slide'!$H$20:$N$23,5, TRUE)</f>
        <v>-9.4798772739497356E-2</v>
      </c>
      <c r="S347" s="78">
        <f>VLOOKUP(P347,'Probabilities &amp; Price Slide'!$H$20:$N$23,6, TRUE)</f>
        <v>-4.7674964197479769E-2</v>
      </c>
      <c r="T347" s="78">
        <f>VLOOKUP(P347,'Probabilities &amp; Price Slide'!$H$20:$N$23,7, TRUE)</f>
        <v>-4.7674964197479769E-2</v>
      </c>
    </row>
    <row r="348" spans="16:20" x14ac:dyDescent="0.3">
      <c r="P348" s="43">
        <v>728</v>
      </c>
      <c r="Q348" s="78">
        <f>VLOOKUP(P348,'Probabilities &amp; Price Slide'!$H$20:$N$23,4, TRUE)</f>
        <v>-0.14247373693697712</v>
      </c>
      <c r="R348" s="78">
        <f>VLOOKUP(P348,'Probabilities &amp; Price Slide'!$H$20:$N$23,5, TRUE)</f>
        <v>-9.4798772739497356E-2</v>
      </c>
      <c r="S348" s="78">
        <f>VLOOKUP(P348,'Probabilities &amp; Price Slide'!$H$20:$N$23,6, TRUE)</f>
        <v>-4.7674964197479769E-2</v>
      </c>
      <c r="T348" s="78">
        <f>VLOOKUP(P348,'Probabilities &amp; Price Slide'!$H$20:$N$23,7, TRUE)</f>
        <v>-4.7674964197479769E-2</v>
      </c>
    </row>
    <row r="349" spans="16:20" x14ac:dyDescent="0.3">
      <c r="P349" s="43">
        <v>729</v>
      </c>
      <c r="Q349" s="78">
        <f>VLOOKUP(P349,'Probabilities &amp; Price Slide'!$H$20:$N$23,4, TRUE)</f>
        <v>-0.14247373693697712</v>
      </c>
      <c r="R349" s="78">
        <f>VLOOKUP(P349,'Probabilities &amp; Price Slide'!$H$20:$N$23,5, TRUE)</f>
        <v>-9.4798772739497356E-2</v>
      </c>
      <c r="S349" s="78">
        <f>VLOOKUP(P349,'Probabilities &amp; Price Slide'!$H$20:$N$23,6, TRUE)</f>
        <v>-4.7674964197479769E-2</v>
      </c>
      <c r="T349" s="78">
        <f>VLOOKUP(P349,'Probabilities &amp; Price Slide'!$H$20:$N$23,7, TRUE)</f>
        <v>-4.7674964197479769E-2</v>
      </c>
    </row>
    <row r="350" spans="16:20" x14ac:dyDescent="0.3">
      <c r="P350" s="43">
        <v>730</v>
      </c>
      <c r="Q350" s="78">
        <f>VLOOKUP(P350,'Probabilities &amp; Price Slide'!$H$20:$N$23,4, TRUE)</f>
        <v>-0.14247373693697712</v>
      </c>
      <c r="R350" s="78">
        <f>VLOOKUP(P350,'Probabilities &amp; Price Slide'!$H$20:$N$23,5, TRUE)</f>
        <v>-9.4798772739497356E-2</v>
      </c>
      <c r="S350" s="78">
        <f>VLOOKUP(P350,'Probabilities &amp; Price Slide'!$H$20:$N$23,6, TRUE)</f>
        <v>-4.7674964197479769E-2</v>
      </c>
      <c r="T350" s="78">
        <f>VLOOKUP(P350,'Probabilities &amp; Price Slide'!$H$20:$N$23,7, TRUE)</f>
        <v>-4.7674964197479769E-2</v>
      </c>
    </row>
    <row r="351" spans="16:20" x14ac:dyDescent="0.3">
      <c r="P351" s="43">
        <v>731</v>
      </c>
      <c r="Q351" s="78">
        <f>VLOOKUP(P351,'Probabilities &amp; Price Slide'!$H$20:$N$23,4, TRUE)</f>
        <v>-0.14247373693697712</v>
      </c>
      <c r="R351" s="78">
        <f>VLOOKUP(P351,'Probabilities &amp; Price Slide'!$H$20:$N$23,5, TRUE)</f>
        <v>-9.4798772739497356E-2</v>
      </c>
      <c r="S351" s="78">
        <f>VLOOKUP(P351,'Probabilities &amp; Price Slide'!$H$20:$N$23,6, TRUE)</f>
        <v>-4.7674964197479769E-2</v>
      </c>
      <c r="T351" s="78">
        <f>VLOOKUP(P351,'Probabilities &amp; Price Slide'!$H$20:$N$23,7, TRUE)</f>
        <v>-4.7674964197479769E-2</v>
      </c>
    </row>
    <row r="352" spans="16:20" x14ac:dyDescent="0.3">
      <c r="P352" s="43">
        <v>732</v>
      </c>
      <c r="Q352" s="78">
        <f>VLOOKUP(P352,'Probabilities &amp; Price Slide'!$H$20:$N$23,4, TRUE)</f>
        <v>-0.14247373693697712</v>
      </c>
      <c r="R352" s="78">
        <f>VLOOKUP(P352,'Probabilities &amp; Price Slide'!$H$20:$N$23,5, TRUE)</f>
        <v>-9.4798772739497356E-2</v>
      </c>
      <c r="S352" s="78">
        <f>VLOOKUP(P352,'Probabilities &amp; Price Slide'!$H$20:$N$23,6, TRUE)</f>
        <v>-4.7674964197479769E-2</v>
      </c>
      <c r="T352" s="78">
        <f>VLOOKUP(P352,'Probabilities &amp; Price Slide'!$H$20:$N$23,7, TRUE)</f>
        <v>-4.7674964197479769E-2</v>
      </c>
    </row>
    <row r="353" spans="16:20" x14ac:dyDescent="0.3">
      <c r="P353" s="43">
        <v>733</v>
      </c>
      <c r="Q353" s="78">
        <f>VLOOKUP(P353,'Probabilities &amp; Price Slide'!$H$20:$N$23,4, TRUE)</f>
        <v>-0.14247373693697712</v>
      </c>
      <c r="R353" s="78">
        <f>VLOOKUP(P353,'Probabilities &amp; Price Slide'!$H$20:$N$23,5, TRUE)</f>
        <v>-9.4798772739497356E-2</v>
      </c>
      <c r="S353" s="78">
        <f>VLOOKUP(P353,'Probabilities &amp; Price Slide'!$H$20:$N$23,6, TRUE)</f>
        <v>-4.7674964197479769E-2</v>
      </c>
      <c r="T353" s="78">
        <f>VLOOKUP(P353,'Probabilities &amp; Price Slide'!$H$20:$N$23,7, TRUE)</f>
        <v>-4.7674964197479769E-2</v>
      </c>
    </row>
    <row r="354" spans="16:20" x14ac:dyDescent="0.3">
      <c r="P354" s="43">
        <v>734</v>
      </c>
      <c r="Q354" s="78">
        <f>VLOOKUP(P354,'Probabilities &amp; Price Slide'!$H$20:$N$23,4, TRUE)</f>
        <v>-0.14247373693697712</v>
      </c>
      <c r="R354" s="78">
        <f>VLOOKUP(P354,'Probabilities &amp; Price Slide'!$H$20:$N$23,5, TRUE)</f>
        <v>-9.4798772739497356E-2</v>
      </c>
      <c r="S354" s="78">
        <f>VLOOKUP(P354,'Probabilities &amp; Price Slide'!$H$20:$N$23,6, TRUE)</f>
        <v>-4.7674964197479769E-2</v>
      </c>
      <c r="T354" s="78">
        <f>VLOOKUP(P354,'Probabilities &amp; Price Slide'!$H$20:$N$23,7, TRUE)</f>
        <v>-4.7674964197479769E-2</v>
      </c>
    </row>
    <row r="355" spans="16:20" x14ac:dyDescent="0.3">
      <c r="P355" s="43">
        <v>735</v>
      </c>
      <c r="Q355" s="78">
        <f>VLOOKUP(P355,'Probabilities &amp; Price Slide'!$H$20:$N$23,4, TRUE)</f>
        <v>-0.14247373693697712</v>
      </c>
      <c r="R355" s="78">
        <f>VLOOKUP(P355,'Probabilities &amp; Price Slide'!$H$20:$N$23,5, TRUE)</f>
        <v>-9.4798772739497356E-2</v>
      </c>
      <c r="S355" s="78">
        <f>VLOOKUP(P355,'Probabilities &amp; Price Slide'!$H$20:$N$23,6, TRUE)</f>
        <v>-4.7674964197479769E-2</v>
      </c>
      <c r="T355" s="78">
        <f>VLOOKUP(P355,'Probabilities &amp; Price Slide'!$H$20:$N$23,7, TRUE)</f>
        <v>-4.7674964197479769E-2</v>
      </c>
    </row>
    <row r="356" spans="16:20" x14ac:dyDescent="0.3">
      <c r="P356" s="43">
        <v>736</v>
      </c>
      <c r="Q356" s="78">
        <f>VLOOKUP(P356,'Probabilities &amp; Price Slide'!$H$20:$N$23,4, TRUE)</f>
        <v>-0.14247373693697712</v>
      </c>
      <c r="R356" s="78">
        <f>VLOOKUP(P356,'Probabilities &amp; Price Slide'!$H$20:$N$23,5, TRUE)</f>
        <v>-9.4798772739497356E-2</v>
      </c>
      <c r="S356" s="78">
        <f>VLOOKUP(P356,'Probabilities &amp; Price Slide'!$H$20:$N$23,6, TRUE)</f>
        <v>-4.7674964197479769E-2</v>
      </c>
      <c r="T356" s="78">
        <f>VLOOKUP(P356,'Probabilities &amp; Price Slide'!$H$20:$N$23,7, TRUE)</f>
        <v>-4.7674964197479769E-2</v>
      </c>
    </row>
    <row r="357" spans="16:20" x14ac:dyDescent="0.3">
      <c r="P357" s="43">
        <v>737</v>
      </c>
      <c r="Q357" s="78">
        <f>VLOOKUP(P357,'Probabilities &amp; Price Slide'!$H$20:$N$23,4, TRUE)</f>
        <v>-0.14247373693697712</v>
      </c>
      <c r="R357" s="78">
        <f>VLOOKUP(P357,'Probabilities &amp; Price Slide'!$H$20:$N$23,5, TRUE)</f>
        <v>-9.4798772739497356E-2</v>
      </c>
      <c r="S357" s="78">
        <f>VLOOKUP(P357,'Probabilities &amp; Price Slide'!$H$20:$N$23,6, TRUE)</f>
        <v>-4.7674964197479769E-2</v>
      </c>
      <c r="T357" s="78">
        <f>VLOOKUP(P357,'Probabilities &amp; Price Slide'!$H$20:$N$23,7, TRUE)</f>
        <v>-4.7674964197479769E-2</v>
      </c>
    </row>
    <row r="358" spans="16:20" x14ac:dyDescent="0.3">
      <c r="P358" s="43">
        <v>738</v>
      </c>
      <c r="Q358" s="78">
        <f>VLOOKUP(P358,'Probabilities &amp; Price Slide'!$H$20:$N$23,4, TRUE)</f>
        <v>-0.14247373693697712</v>
      </c>
      <c r="R358" s="78">
        <f>VLOOKUP(P358,'Probabilities &amp; Price Slide'!$H$20:$N$23,5, TRUE)</f>
        <v>-9.4798772739497356E-2</v>
      </c>
      <c r="S358" s="78">
        <f>VLOOKUP(P358,'Probabilities &amp; Price Slide'!$H$20:$N$23,6, TRUE)</f>
        <v>-4.7674964197479769E-2</v>
      </c>
      <c r="T358" s="78">
        <f>VLOOKUP(P358,'Probabilities &amp; Price Slide'!$H$20:$N$23,7, TRUE)</f>
        <v>-4.7674964197479769E-2</v>
      </c>
    </row>
    <row r="359" spans="16:20" x14ac:dyDescent="0.3">
      <c r="P359" s="43">
        <v>739</v>
      </c>
      <c r="Q359" s="78">
        <f>VLOOKUP(P359,'Probabilities &amp; Price Slide'!$H$20:$N$23,4, TRUE)</f>
        <v>-0.14247373693697712</v>
      </c>
      <c r="R359" s="78">
        <f>VLOOKUP(P359,'Probabilities &amp; Price Slide'!$H$20:$N$23,5, TRUE)</f>
        <v>-9.4798772739497356E-2</v>
      </c>
      <c r="S359" s="78">
        <f>VLOOKUP(P359,'Probabilities &amp; Price Slide'!$H$20:$N$23,6, TRUE)</f>
        <v>-4.7674964197479769E-2</v>
      </c>
      <c r="T359" s="78">
        <f>VLOOKUP(P359,'Probabilities &amp; Price Slide'!$H$20:$N$23,7, TRUE)</f>
        <v>-4.7674964197479769E-2</v>
      </c>
    </row>
    <row r="360" spans="16:20" x14ac:dyDescent="0.3">
      <c r="P360" s="43">
        <v>740</v>
      </c>
      <c r="Q360" s="78">
        <f>VLOOKUP(P360,'Probabilities &amp; Price Slide'!$H$20:$N$23,4, TRUE)</f>
        <v>-0.14247373693697712</v>
      </c>
      <c r="R360" s="78">
        <f>VLOOKUP(P360,'Probabilities &amp; Price Slide'!$H$20:$N$23,5, TRUE)</f>
        <v>-9.4798772739497356E-2</v>
      </c>
      <c r="S360" s="78">
        <f>VLOOKUP(P360,'Probabilities &amp; Price Slide'!$H$20:$N$23,6, TRUE)</f>
        <v>-4.7674964197479769E-2</v>
      </c>
      <c r="T360" s="78">
        <f>VLOOKUP(P360,'Probabilities &amp; Price Slide'!$H$20:$N$23,7, TRUE)</f>
        <v>-4.7674964197479769E-2</v>
      </c>
    </row>
    <row r="361" spans="16:20" x14ac:dyDescent="0.3">
      <c r="P361" s="43">
        <v>741</v>
      </c>
      <c r="Q361" s="78">
        <f>VLOOKUP(P361,'Probabilities &amp; Price Slide'!$H$20:$N$23,4, TRUE)</f>
        <v>-0.14247373693697712</v>
      </c>
      <c r="R361" s="78">
        <f>VLOOKUP(P361,'Probabilities &amp; Price Slide'!$H$20:$N$23,5, TRUE)</f>
        <v>-9.4798772739497356E-2</v>
      </c>
      <c r="S361" s="78">
        <f>VLOOKUP(P361,'Probabilities &amp; Price Slide'!$H$20:$N$23,6, TRUE)</f>
        <v>-4.7674964197479769E-2</v>
      </c>
      <c r="T361" s="78">
        <f>VLOOKUP(P361,'Probabilities &amp; Price Slide'!$H$20:$N$23,7, TRUE)</f>
        <v>-4.7674964197479769E-2</v>
      </c>
    </row>
    <row r="362" spans="16:20" x14ac:dyDescent="0.3">
      <c r="P362" s="43">
        <v>742</v>
      </c>
      <c r="Q362" s="78">
        <f>VLOOKUP(P362,'Probabilities &amp; Price Slide'!$H$20:$N$23,4, TRUE)</f>
        <v>-0.14247373693697712</v>
      </c>
      <c r="R362" s="78">
        <f>VLOOKUP(P362,'Probabilities &amp; Price Slide'!$H$20:$N$23,5, TRUE)</f>
        <v>-9.4798772739497356E-2</v>
      </c>
      <c r="S362" s="78">
        <f>VLOOKUP(P362,'Probabilities &amp; Price Slide'!$H$20:$N$23,6, TRUE)</f>
        <v>-4.7674964197479769E-2</v>
      </c>
      <c r="T362" s="78">
        <f>VLOOKUP(P362,'Probabilities &amp; Price Slide'!$H$20:$N$23,7, TRUE)</f>
        <v>-4.7674964197479769E-2</v>
      </c>
    </row>
    <row r="363" spans="16:20" x14ac:dyDescent="0.3">
      <c r="P363" s="43">
        <v>743</v>
      </c>
      <c r="Q363" s="78">
        <f>VLOOKUP(P363,'Probabilities &amp; Price Slide'!$H$20:$N$23,4, TRUE)</f>
        <v>-0.14247373693697712</v>
      </c>
      <c r="R363" s="78">
        <f>VLOOKUP(P363,'Probabilities &amp; Price Slide'!$H$20:$N$23,5, TRUE)</f>
        <v>-9.4798772739497356E-2</v>
      </c>
      <c r="S363" s="78">
        <f>VLOOKUP(P363,'Probabilities &amp; Price Slide'!$H$20:$N$23,6, TRUE)</f>
        <v>-4.7674964197479769E-2</v>
      </c>
      <c r="T363" s="78">
        <f>VLOOKUP(P363,'Probabilities &amp; Price Slide'!$H$20:$N$23,7, TRUE)</f>
        <v>-4.7674964197479769E-2</v>
      </c>
    </row>
    <row r="364" spans="16:20" x14ac:dyDescent="0.3">
      <c r="P364" s="43">
        <v>744</v>
      </c>
      <c r="Q364" s="78">
        <f>VLOOKUP(P364,'Probabilities &amp; Price Slide'!$H$20:$N$23,4, TRUE)</f>
        <v>-0.14247373693697712</v>
      </c>
      <c r="R364" s="78">
        <f>VLOOKUP(P364,'Probabilities &amp; Price Slide'!$H$20:$N$23,5, TRUE)</f>
        <v>-9.4798772739497356E-2</v>
      </c>
      <c r="S364" s="78">
        <f>VLOOKUP(P364,'Probabilities &amp; Price Slide'!$H$20:$N$23,6, TRUE)</f>
        <v>-4.7674964197479769E-2</v>
      </c>
      <c r="T364" s="78">
        <f>VLOOKUP(P364,'Probabilities &amp; Price Slide'!$H$20:$N$23,7, TRUE)</f>
        <v>-4.7674964197479769E-2</v>
      </c>
    </row>
    <row r="365" spans="16:20" x14ac:dyDescent="0.3">
      <c r="P365" s="43">
        <v>745</v>
      </c>
      <c r="Q365" s="78">
        <f>VLOOKUP(P365,'Probabilities &amp; Price Slide'!$H$20:$N$23,4, TRUE)</f>
        <v>-0.14247373693697712</v>
      </c>
      <c r="R365" s="78">
        <f>VLOOKUP(P365,'Probabilities &amp; Price Slide'!$H$20:$N$23,5, TRUE)</f>
        <v>-9.4798772739497356E-2</v>
      </c>
      <c r="S365" s="78">
        <f>VLOOKUP(P365,'Probabilities &amp; Price Slide'!$H$20:$N$23,6, TRUE)</f>
        <v>-4.7674964197479769E-2</v>
      </c>
      <c r="T365" s="78">
        <f>VLOOKUP(P365,'Probabilities &amp; Price Slide'!$H$20:$N$23,7, TRUE)</f>
        <v>-4.7674964197479769E-2</v>
      </c>
    </row>
    <row r="366" spans="16:20" x14ac:dyDescent="0.3">
      <c r="P366" s="43">
        <v>746</v>
      </c>
      <c r="Q366" s="78">
        <f>VLOOKUP(P366,'Probabilities &amp; Price Slide'!$H$20:$N$23,4, TRUE)</f>
        <v>-0.14247373693697712</v>
      </c>
      <c r="R366" s="78">
        <f>VLOOKUP(P366,'Probabilities &amp; Price Slide'!$H$20:$N$23,5, TRUE)</f>
        <v>-9.4798772739497356E-2</v>
      </c>
      <c r="S366" s="78">
        <f>VLOOKUP(P366,'Probabilities &amp; Price Slide'!$H$20:$N$23,6, TRUE)</f>
        <v>-4.7674964197479769E-2</v>
      </c>
      <c r="T366" s="78">
        <f>VLOOKUP(P366,'Probabilities &amp; Price Slide'!$H$20:$N$23,7, TRUE)</f>
        <v>-4.7674964197479769E-2</v>
      </c>
    </row>
    <row r="367" spans="16:20" x14ac:dyDescent="0.3">
      <c r="P367" s="43">
        <v>747</v>
      </c>
      <c r="Q367" s="78">
        <f>VLOOKUP(P367,'Probabilities &amp; Price Slide'!$H$20:$N$23,4, TRUE)</f>
        <v>-0.14247373693697712</v>
      </c>
      <c r="R367" s="78">
        <f>VLOOKUP(P367,'Probabilities &amp; Price Slide'!$H$20:$N$23,5, TRUE)</f>
        <v>-9.4798772739497356E-2</v>
      </c>
      <c r="S367" s="78">
        <f>VLOOKUP(P367,'Probabilities &amp; Price Slide'!$H$20:$N$23,6, TRUE)</f>
        <v>-4.7674964197479769E-2</v>
      </c>
      <c r="T367" s="78">
        <f>VLOOKUP(P367,'Probabilities &amp; Price Slide'!$H$20:$N$23,7, TRUE)</f>
        <v>-4.7674964197479769E-2</v>
      </c>
    </row>
    <row r="368" spans="16:20" x14ac:dyDescent="0.3">
      <c r="P368" s="43">
        <v>748</v>
      </c>
      <c r="Q368" s="78">
        <f>VLOOKUP(P368,'Probabilities &amp; Price Slide'!$H$20:$N$23,4, TRUE)</f>
        <v>-0.14247373693697712</v>
      </c>
      <c r="R368" s="78">
        <f>VLOOKUP(P368,'Probabilities &amp; Price Slide'!$H$20:$N$23,5, TRUE)</f>
        <v>-9.4798772739497356E-2</v>
      </c>
      <c r="S368" s="78">
        <f>VLOOKUP(P368,'Probabilities &amp; Price Slide'!$H$20:$N$23,6, TRUE)</f>
        <v>-4.7674964197479769E-2</v>
      </c>
      <c r="T368" s="78">
        <f>VLOOKUP(P368,'Probabilities &amp; Price Slide'!$H$20:$N$23,7, TRUE)</f>
        <v>-4.7674964197479769E-2</v>
      </c>
    </row>
    <row r="369" spans="16:20" x14ac:dyDescent="0.3">
      <c r="P369" s="43">
        <v>749</v>
      </c>
      <c r="Q369" s="78">
        <f>VLOOKUP(P369,'Probabilities &amp; Price Slide'!$H$20:$N$23,4, TRUE)</f>
        <v>-0.14247373693697712</v>
      </c>
      <c r="R369" s="78">
        <f>VLOOKUP(P369,'Probabilities &amp; Price Slide'!$H$20:$N$23,5, TRUE)</f>
        <v>-9.4798772739497356E-2</v>
      </c>
      <c r="S369" s="78">
        <f>VLOOKUP(P369,'Probabilities &amp; Price Slide'!$H$20:$N$23,6, TRUE)</f>
        <v>-4.7674964197479769E-2</v>
      </c>
      <c r="T369" s="78">
        <f>VLOOKUP(P369,'Probabilities &amp; Price Slide'!$H$20:$N$23,7, TRUE)</f>
        <v>-4.7674964197479769E-2</v>
      </c>
    </row>
    <row r="370" spans="16:20" x14ac:dyDescent="0.3">
      <c r="P370" s="43">
        <v>750</v>
      </c>
      <c r="Q370" s="78">
        <f>VLOOKUP(P370,'Probabilities &amp; Price Slide'!$H$20:$N$23,4, TRUE)</f>
        <v>-0.14247373693697712</v>
      </c>
      <c r="R370" s="78">
        <f>VLOOKUP(P370,'Probabilities &amp; Price Slide'!$H$20:$N$23,5, TRUE)</f>
        <v>-9.4798772739497356E-2</v>
      </c>
      <c r="S370" s="78">
        <f>VLOOKUP(P370,'Probabilities &amp; Price Slide'!$H$20:$N$23,6, TRUE)</f>
        <v>-4.7674964197479769E-2</v>
      </c>
      <c r="T370" s="78">
        <f>VLOOKUP(P370,'Probabilities &amp; Price Slide'!$H$20:$N$23,7, TRUE)</f>
        <v>-4.7674964197479769E-2</v>
      </c>
    </row>
  </sheetData>
  <mergeCells count="3">
    <mergeCell ref="B1:F1"/>
    <mergeCell ref="B18:E18"/>
    <mergeCell ref="H18:N1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9AC64-AEC4-4F85-BE32-59C95684685B}">
  <sheetPr codeName="Sheet8">
    <tabColor theme="4"/>
  </sheetPr>
  <dimension ref="A1:AD132"/>
  <sheetViews>
    <sheetView zoomScaleNormal="100" workbookViewId="0">
      <selection activeCell="Q10" sqref="Q10"/>
    </sheetView>
  </sheetViews>
  <sheetFormatPr defaultColWidth="9.21875" defaultRowHeight="14.4" x14ac:dyDescent="0.3"/>
  <cols>
    <col min="1" max="1" width="46" style="13" bestFit="1" customWidth="1"/>
    <col min="2" max="2" width="8.21875" style="13" bestFit="1" customWidth="1"/>
    <col min="3" max="3" width="10.21875" style="13" customWidth="1"/>
    <col min="4" max="13" width="9.21875" style="13"/>
    <col min="14" max="15" width="9.77734375" style="13" customWidth="1"/>
    <col min="16" max="16" width="9.77734375" style="13" bestFit="1" customWidth="1"/>
    <col min="17" max="17" width="10.33203125" style="13" customWidth="1"/>
    <col min="18" max="18" width="26.21875" style="13" bestFit="1" customWidth="1"/>
    <col min="19" max="27" width="8.77734375" style="13" bestFit="1" customWidth="1"/>
    <col min="28" max="28" width="13" style="13" bestFit="1" customWidth="1"/>
    <col min="29" max="29" width="10.44140625" style="13" bestFit="1" customWidth="1"/>
    <col min="30" max="30" width="11.77734375" style="13" customWidth="1"/>
    <col min="31" max="16384" width="9.21875" style="13"/>
  </cols>
  <sheetData>
    <row r="1" spans="1:29" ht="15.75" customHeight="1" x14ac:dyDescent="0.3">
      <c r="B1" s="80"/>
      <c r="C1" s="81"/>
      <c r="E1" s="6"/>
      <c r="H1" s="82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</row>
    <row r="2" spans="1:29" x14ac:dyDescent="0.3">
      <c r="A2" s="6" t="s">
        <v>41</v>
      </c>
      <c r="B2" s="83"/>
      <c r="C2" s="84"/>
      <c r="H2" s="82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</row>
    <row r="3" spans="1:29" x14ac:dyDescent="0.3">
      <c r="A3" s="85" t="s">
        <v>42</v>
      </c>
      <c r="B3" s="85"/>
      <c r="C3" s="114">
        <f>C4+1</f>
        <v>1</v>
      </c>
      <c r="D3" s="114">
        <f t="shared" ref="D3" si="0">D4+1</f>
        <v>2</v>
      </c>
      <c r="E3" s="114">
        <f>D3+1</f>
        <v>3</v>
      </c>
      <c r="F3" s="114">
        <f t="shared" ref="F3:O3" si="1">E3+1</f>
        <v>4</v>
      </c>
      <c r="G3" s="114">
        <f t="shared" si="1"/>
        <v>5</v>
      </c>
      <c r="H3" s="114">
        <f t="shared" si="1"/>
        <v>6</v>
      </c>
      <c r="I3" s="114">
        <f t="shared" si="1"/>
        <v>7</v>
      </c>
      <c r="J3" s="114">
        <f t="shared" si="1"/>
        <v>8</v>
      </c>
      <c r="K3" s="114">
        <f t="shared" si="1"/>
        <v>9</v>
      </c>
      <c r="L3" s="114">
        <f t="shared" si="1"/>
        <v>10</v>
      </c>
      <c r="M3" s="114">
        <f t="shared" si="1"/>
        <v>11</v>
      </c>
      <c r="N3" s="114">
        <f t="shared" si="1"/>
        <v>12</v>
      </c>
      <c r="O3" s="114">
        <f t="shared" si="1"/>
        <v>13</v>
      </c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</row>
    <row r="4" spans="1:29" x14ac:dyDescent="0.3">
      <c r="A4" s="85" t="s">
        <v>43</v>
      </c>
      <c r="B4" s="85"/>
      <c r="C4" s="114">
        <v>0</v>
      </c>
      <c r="D4" s="114">
        <v>1</v>
      </c>
      <c r="E4" s="114">
        <f t="shared" ref="E4:P4" si="2">IF(PC&gt;D4, D4+1, " ")</f>
        <v>2</v>
      </c>
      <c r="F4" s="114">
        <f t="shared" si="2"/>
        <v>3</v>
      </c>
      <c r="G4" s="114">
        <f t="shared" si="2"/>
        <v>4</v>
      </c>
      <c r="H4" s="114">
        <f t="shared" si="2"/>
        <v>5</v>
      </c>
      <c r="I4" s="114">
        <f t="shared" si="2"/>
        <v>6</v>
      </c>
      <c r="J4" s="114">
        <f t="shared" si="2"/>
        <v>7</v>
      </c>
      <c r="K4" s="114">
        <f t="shared" si="2"/>
        <v>8</v>
      </c>
      <c r="L4" s="114">
        <f t="shared" si="2"/>
        <v>9</v>
      </c>
      <c r="M4" s="114">
        <f t="shared" si="2"/>
        <v>10</v>
      </c>
      <c r="N4" s="114" t="str">
        <f t="shared" si="2"/>
        <v xml:space="preserve"> </v>
      </c>
      <c r="O4" s="114" t="str">
        <f t="shared" si="2"/>
        <v xml:space="preserve"> </v>
      </c>
      <c r="P4" s="4" t="str">
        <f t="shared" si="2"/>
        <v xml:space="preserve"> </v>
      </c>
      <c r="AA4" s="58"/>
      <c r="AB4" s="58"/>
      <c r="AC4" s="58"/>
    </row>
    <row r="5" spans="1:29" x14ac:dyDescent="0.3">
      <c r="A5" s="85" t="s">
        <v>44</v>
      </c>
      <c r="B5" s="85"/>
      <c r="C5" s="86" t="str">
        <f t="shared" ref="C5:O5" si="3">IF(C4=" ", " ", (IF(C4&gt;=on, (1/(1+i)^(C4-on))," ")))</f>
        <v xml:space="preserve"> </v>
      </c>
      <c r="D5" s="86">
        <f t="shared" si="3"/>
        <v>1</v>
      </c>
      <c r="E5" s="86">
        <f t="shared" si="3"/>
        <v>0.95238095238095233</v>
      </c>
      <c r="F5" s="86">
        <f t="shared" si="3"/>
        <v>0.90702947845804982</v>
      </c>
      <c r="G5" s="86">
        <f t="shared" si="3"/>
        <v>0.86383759853147601</v>
      </c>
      <c r="H5" s="86">
        <f t="shared" si="3"/>
        <v>0.82270247479188197</v>
      </c>
      <c r="I5" s="86">
        <f t="shared" si="3"/>
        <v>0.78352616646845896</v>
      </c>
      <c r="J5" s="86">
        <f t="shared" si="3"/>
        <v>0.74621539663662761</v>
      </c>
      <c r="K5" s="86">
        <f t="shared" si="3"/>
        <v>0.71068133013012147</v>
      </c>
      <c r="L5" s="86">
        <f t="shared" si="3"/>
        <v>0.67683936202868722</v>
      </c>
      <c r="M5" s="86">
        <f t="shared" si="3"/>
        <v>0.64460891621779726</v>
      </c>
      <c r="N5" s="86" t="str">
        <f t="shared" si="3"/>
        <v xml:space="preserve"> </v>
      </c>
      <c r="O5" s="86" t="str">
        <f t="shared" si="3"/>
        <v xml:space="preserve"> </v>
      </c>
      <c r="AA5" s="58"/>
      <c r="AB5" s="58"/>
      <c r="AC5" s="58"/>
    </row>
    <row r="6" spans="1:29" x14ac:dyDescent="0.3">
      <c r="A6" s="87" t="s">
        <v>27</v>
      </c>
      <c r="B6" s="87"/>
      <c r="C6" s="88" t="str" cm="1">
        <f t="array" ref="C6">IF(C5=" "," ",(IF(C4=on,-vc,((('Variable Inputs'!$C$27-(VLOOKUP('NPV Scenario 1'!C3,'Probabilities &amp; Price Slide'!$B$20:$E$29,4,FALSE)))*(_xlfn.IFS(C3=2, ('Variable Inputs'!$C$28+(VLOOKUP('Variable Inputs'!$C$27,'Probabilities &amp; Price Slide'!$P$33:$T$370,3,TRUE))), C3=3, ('Variable Inputs'!$C$28+(VLOOKUP('Variable Inputs'!$C$27,'Probabilities &amp; Price Slide'!$P$33:$T$370,3,TRUE))), C3=4, ('Variable Inputs'!$C$28+(VLOOKUP('Variable Inputs'!$C$27,'Probabilities &amp; Price Slide'!$P$33:$T$370,3,TRUE))), C3=11, ('Variable Inputs'!$C$28+(VLOOKUP('Variable Inputs'!$C$27,'Probabilities &amp; Price Slide'!$P$33:$T$370,3,TRUE))), C3=5, 'Variable Inputs'!$C$28, C3=6, 'Variable Inputs'!$C$28, C3=7, 'Variable Inputs'!$C$28, C3=8, 'Variable Inputs'!$C$28, C3=9, 'Variable Inputs'!$C$28, C3=10, 'Variable Inputs'!$C$28))-vc)))))</f>
        <v xml:space="preserve"> </v>
      </c>
      <c r="D6" s="88" cm="1">
        <f t="array" ref="D6">IF(D5=" "," ",(IF(D4=on,-vc,((('Variable Inputs'!$C$27-(VLOOKUP('NPV Scenario 1'!D3,'Probabilities &amp; Price Slide'!$B$20:$E$29,4,FALSE)))*(_xlfn.IFS(D3=2, ('Variable Inputs'!$C$28+(VLOOKUP('Variable Inputs'!$C$27,'Probabilities &amp; Price Slide'!$P$33:$T$370,3,TRUE))), D3=3, ('Variable Inputs'!$C$28+(VLOOKUP('Variable Inputs'!$C$27,'Probabilities &amp; Price Slide'!$P$33:$T$370,3,TRUE))), D3=4, ('Variable Inputs'!$C$28+(VLOOKUP('Variable Inputs'!$C$27,'Probabilities &amp; Price Slide'!$P$33:$T$370,3,TRUE))), D3=11, ('Variable Inputs'!$C$28+(VLOOKUP('Variable Inputs'!$C$27,'Probabilities &amp; Price Slide'!$P$33:$T$370,3,TRUE))), D3=5, 'Variable Inputs'!$C$28, D3=6, 'Variable Inputs'!$C$28, D3=7, 'Variable Inputs'!$C$28, D3=8, 'Variable Inputs'!$C$28, D3=9, 'Variable Inputs'!$C$28, D3=10, 'Variable Inputs'!$C$28))-vc)))))</f>
        <v>-450</v>
      </c>
      <c r="E6" s="88" cm="1">
        <f t="array" ref="E6">IF(E5=" "," ",(IF(E4=on,-vc,((('Variable Inputs'!$C$27-(VLOOKUP('NPV Scenario 1'!E3,'Probabilities &amp; Price Slide'!$B$20:$E$29,4,FALSE)))*(_xlfn.IFS(E3=2, ('Variable Inputs'!$C$28+(VLOOKUP('Variable Inputs'!$C$27,'Probabilities &amp; Price Slide'!$P$33:$T$370,3,TRUE))), E3=3, ('Variable Inputs'!$C$28+(VLOOKUP('Variable Inputs'!$C$27,'Probabilities &amp; Price Slide'!$P$33:$T$370,3,TRUE))), E3=4, ('Variable Inputs'!$C$28+(VLOOKUP('Variable Inputs'!$C$27,'Probabilities &amp; Price Slide'!$P$33:$T$370,3,TRUE))), E3=11, ('Variable Inputs'!$C$28+(VLOOKUP('Variable Inputs'!$C$27,'Probabilities &amp; Price Slide'!$P$33:$T$370,3,TRUE))), E3=5, 'Variable Inputs'!$C$28, E3=6, 'Variable Inputs'!$C$28, E3=7, 'Variable Inputs'!$C$28, E3=8, 'Variable Inputs'!$C$28, E3=9, 'Variable Inputs'!$C$28, E3=10, 'Variable Inputs'!$C$28))-vc)))))</f>
        <v>525.61637972684446</v>
      </c>
      <c r="F6" s="88" cm="1">
        <f t="array" ref="F6">IF(F5=" "," ",(IF(F4=on,-vc,((('Variable Inputs'!$C$27-(VLOOKUP('NPV Scenario 1'!F3,'Probabilities &amp; Price Slide'!$B$20:$E$29,4,FALSE)))*(_xlfn.IFS(F3=2, ('Variable Inputs'!$C$28+(VLOOKUP('Variable Inputs'!$C$27,'Probabilities &amp; Price Slide'!$P$33:$T$370,3,TRUE))), F3=3, ('Variable Inputs'!$C$28+(VLOOKUP('Variable Inputs'!$C$27,'Probabilities &amp; Price Slide'!$P$33:$T$370,3,TRUE))), F3=4, ('Variable Inputs'!$C$28+(VLOOKUP('Variable Inputs'!$C$27,'Probabilities &amp; Price Slide'!$P$33:$T$370,3,TRUE))), F3=11, ('Variable Inputs'!$C$28+(VLOOKUP('Variable Inputs'!$C$27,'Probabilities &amp; Price Slide'!$P$33:$T$370,3,TRUE))), F3=5, 'Variable Inputs'!$C$28, F3=6, 'Variable Inputs'!$C$28, F3=7, 'Variable Inputs'!$C$28, F3=8, 'Variable Inputs'!$C$28, F3=9, 'Variable Inputs'!$C$28, F3=10, 'Variable Inputs'!$C$28))-vc)))))</f>
        <v>561.52851487382088</v>
      </c>
      <c r="G6" s="88" cm="1">
        <f t="array" ref="G6">IF(G5=" "," ",(IF(G4=on,-vc,((('Variable Inputs'!$C$27-(VLOOKUP('NPV Scenario 1'!G3,'Probabilities &amp; Price Slide'!$B$20:$E$29,4,FALSE)))*(_xlfn.IFS(G3=2, ('Variable Inputs'!$C$28+(VLOOKUP('Variable Inputs'!$C$27,'Probabilities &amp; Price Slide'!$P$33:$T$370,3,TRUE))), G3=3, ('Variable Inputs'!$C$28+(VLOOKUP('Variable Inputs'!$C$27,'Probabilities &amp; Price Slide'!$P$33:$T$370,3,TRUE))), G3=4, ('Variable Inputs'!$C$28+(VLOOKUP('Variable Inputs'!$C$27,'Probabilities &amp; Price Slide'!$P$33:$T$370,3,TRUE))), G3=11, ('Variable Inputs'!$C$28+(VLOOKUP('Variable Inputs'!$C$27,'Probabilities &amp; Price Slide'!$P$33:$T$370,3,TRUE))), G3=5, 'Variable Inputs'!$C$28, G3=6, 'Variable Inputs'!$C$28, G3=7, 'Variable Inputs'!$C$28, G3=8, 'Variable Inputs'!$C$28, G3=9, 'Variable Inputs'!$C$28, G3=10, 'Variable Inputs'!$C$28))-vc)))))</f>
        <v>650</v>
      </c>
      <c r="H6" s="88" cm="1">
        <f t="array" ref="H6">IF(H5=" "," ",(IF(H4=on,-vc,((('Variable Inputs'!$C$27-(VLOOKUP('NPV Scenario 1'!H3,'Probabilities &amp; Price Slide'!$B$20:$E$29,4,FALSE)))*(_xlfn.IFS(H3=2, ('Variable Inputs'!$C$28+(VLOOKUP('Variable Inputs'!$C$27,'Probabilities &amp; Price Slide'!$P$33:$T$370,3,TRUE))), H3=3, ('Variable Inputs'!$C$28+(VLOOKUP('Variable Inputs'!$C$27,'Probabilities &amp; Price Slide'!$P$33:$T$370,3,TRUE))), H3=4, ('Variable Inputs'!$C$28+(VLOOKUP('Variable Inputs'!$C$27,'Probabilities &amp; Price Slide'!$P$33:$T$370,3,TRUE))), H3=11, ('Variable Inputs'!$C$28+(VLOOKUP('Variable Inputs'!$C$27,'Probabilities &amp; Price Slide'!$P$33:$T$370,3,TRUE))), H3=5, 'Variable Inputs'!$C$28, H3=6, 'Variable Inputs'!$C$28, H3=7, 'Variable Inputs'!$C$28, H3=8, 'Variable Inputs'!$C$28, H3=9, 'Variable Inputs'!$C$28, H3=10, 'Variable Inputs'!$C$28))-vc)))))</f>
        <v>650</v>
      </c>
      <c r="I6" s="88" cm="1">
        <f t="array" ref="I6">IF(I5=" "," ",(IF(I4=on,-vc,((('Variable Inputs'!$C$27-(VLOOKUP('NPV Scenario 1'!I3,'Probabilities &amp; Price Slide'!$B$20:$E$29,4,FALSE)))*(_xlfn.IFS(I3=2, ('Variable Inputs'!$C$28+(VLOOKUP('Variable Inputs'!$C$27,'Probabilities &amp; Price Slide'!$P$33:$T$370,3,TRUE))), I3=3, ('Variable Inputs'!$C$28+(VLOOKUP('Variable Inputs'!$C$27,'Probabilities &amp; Price Slide'!$P$33:$T$370,3,TRUE))), I3=4, ('Variable Inputs'!$C$28+(VLOOKUP('Variable Inputs'!$C$27,'Probabilities &amp; Price Slide'!$P$33:$T$370,3,TRUE))), I3=11, ('Variable Inputs'!$C$28+(VLOOKUP('Variable Inputs'!$C$27,'Probabilities &amp; Price Slide'!$P$33:$T$370,3,TRUE))), I3=5, 'Variable Inputs'!$C$28, I3=6, 'Variable Inputs'!$C$28, I3=7, 'Variable Inputs'!$C$28, I3=8, 'Variable Inputs'!$C$28, I3=9, 'Variable Inputs'!$C$28, I3=10, 'Variable Inputs'!$C$28))-vc)))))</f>
        <v>650</v>
      </c>
      <c r="J6" s="88" cm="1">
        <f t="array" ref="J6">IF(J5=" "," ",(IF(J4=on,-vc,((('Variable Inputs'!$C$27-(VLOOKUP('NPV Scenario 1'!J3,'Probabilities &amp; Price Slide'!$B$20:$E$29,4,FALSE)))*(_xlfn.IFS(J3=2, ('Variable Inputs'!$C$28+(VLOOKUP('Variable Inputs'!$C$27,'Probabilities &amp; Price Slide'!$P$33:$T$370,3,TRUE))), J3=3, ('Variable Inputs'!$C$28+(VLOOKUP('Variable Inputs'!$C$27,'Probabilities &amp; Price Slide'!$P$33:$T$370,3,TRUE))), J3=4, ('Variable Inputs'!$C$28+(VLOOKUP('Variable Inputs'!$C$27,'Probabilities &amp; Price Slide'!$P$33:$T$370,3,TRUE))), J3=11, ('Variable Inputs'!$C$28+(VLOOKUP('Variable Inputs'!$C$27,'Probabilities &amp; Price Slide'!$P$33:$T$370,3,TRUE))), J3=5, 'Variable Inputs'!$C$28, J3=6, 'Variable Inputs'!$C$28, J3=7, 'Variable Inputs'!$C$28, J3=8, 'Variable Inputs'!$C$28, J3=9, 'Variable Inputs'!$C$28, J3=10, 'Variable Inputs'!$C$28))-vc)))))</f>
        <v>650</v>
      </c>
      <c r="K6" s="88" cm="1">
        <f t="array" ref="K6">IF(K5=" "," ",(IF(K4=on,-vc,((('Variable Inputs'!$C$27-(VLOOKUP('NPV Scenario 1'!K3,'Probabilities &amp; Price Slide'!$B$20:$E$29,4,FALSE)))*(_xlfn.IFS(K3=2, ('Variable Inputs'!$C$28+(VLOOKUP('Variable Inputs'!$C$27,'Probabilities &amp; Price Slide'!$P$33:$T$370,3,TRUE))), K3=3, ('Variable Inputs'!$C$28+(VLOOKUP('Variable Inputs'!$C$27,'Probabilities &amp; Price Slide'!$P$33:$T$370,3,TRUE))), K3=4, ('Variable Inputs'!$C$28+(VLOOKUP('Variable Inputs'!$C$27,'Probabilities &amp; Price Slide'!$P$33:$T$370,3,TRUE))), K3=11, ('Variable Inputs'!$C$28+(VLOOKUP('Variable Inputs'!$C$27,'Probabilities &amp; Price Slide'!$P$33:$T$370,3,TRUE))), K3=5, 'Variable Inputs'!$C$28, K3=6, 'Variable Inputs'!$C$28, K3=7, 'Variable Inputs'!$C$28, K3=8, 'Variable Inputs'!$C$28, K3=9, 'Variable Inputs'!$C$28, K3=10, 'Variable Inputs'!$C$28))-vc)))))</f>
        <v>650</v>
      </c>
      <c r="L6" s="88" cm="1">
        <f t="array" ref="L6">IF(L5=" "," ",(IF(L4=on,-vc,((('Variable Inputs'!$C$27-(VLOOKUP('NPV Scenario 1'!L3,'Probabilities &amp; Price Slide'!$B$20:$E$29,4,FALSE)))*(_xlfn.IFS(L3=2, ('Variable Inputs'!$C$28+(VLOOKUP('Variable Inputs'!$C$27,'Probabilities &amp; Price Slide'!$P$33:$T$370,3,TRUE))), L3=3, ('Variable Inputs'!$C$28+(VLOOKUP('Variable Inputs'!$C$27,'Probabilities &amp; Price Slide'!$P$33:$T$370,3,TRUE))), L3=4, ('Variable Inputs'!$C$28+(VLOOKUP('Variable Inputs'!$C$27,'Probabilities &amp; Price Slide'!$P$33:$T$370,3,TRUE))), L3=11, ('Variable Inputs'!$C$28+(VLOOKUP('Variable Inputs'!$C$27,'Probabilities &amp; Price Slide'!$P$33:$T$370,3,TRUE))), L3=5, 'Variable Inputs'!$C$28, L3=6, 'Variable Inputs'!$C$28, L3=7, 'Variable Inputs'!$C$28, L3=8, 'Variable Inputs'!$C$28, L3=9, 'Variable Inputs'!$C$28, L3=10, 'Variable Inputs'!$C$28))-vc)))))</f>
        <v>650</v>
      </c>
      <c r="M6" s="88" cm="1">
        <f t="array" ref="M6">IF(M5=" "," ",(IF(M4=on,-vc,((('Variable Inputs'!$C$27-(VLOOKUP('NPV Scenario 1'!M3,'Probabilities &amp; Price Slide'!$B$20:$E$29,4,FALSE)))*(_xlfn.IFS(M3=2, ('Variable Inputs'!$C$28+(VLOOKUP('Variable Inputs'!$C$27,'Probabilities &amp; Price Slide'!$P$33:$T$370,3,TRUE))), M3=3, ('Variable Inputs'!$C$28+(VLOOKUP('Variable Inputs'!$C$27,'Probabilities &amp; Price Slide'!$P$33:$T$370,3,TRUE))), M3=4, ('Variable Inputs'!$C$28+(VLOOKUP('Variable Inputs'!$C$27,'Probabilities &amp; Price Slide'!$P$33:$T$370,3,TRUE))), M3=11, ('Variable Inputs'!$C$28+(VLOOKUP('Variable Inputs'!$C$27,'Probabilities &amp; Price Slide'!$P$33:$T$370,3,TRUE))), M3=5, 'Variable Inputs'!$C$28, M3=6, 'Variable Inputs'!$C$28, M3=7, 'Variable Inputs'!$C$28, M3=8, 'Variable Inputs'!$C$28, M3=9, 'Variable Inputs'!$C$28, M3=10, 'Variable Inputs'!$C$28))-vc)))))</f>
        <v>561.52851487382088</v>
      </c>
      <c r="N6" s="88" t="str" cm="1">
        <f t="array" ref="N6">IF(N5=" "," ",(IF(N4=on,-vc,((('Variable Inputs'!$C$27-(VLOOKUP('NPV Scenario 1'!N3,'Probabilities &amp; Price Slide'!$B$20:$E$29,4,FALSE)))*(_xlfn.IFS(N3=2, ('Variable Inputs'!$C$28+(VLOOKUP('Variable Inputs'!$C$27,'Probabilities &amp; Price Slide'!$P$33:$T$370,3,TRUE))), N3=3, ('Variable Inputs'!$C$28+(VLOOKUP('Variable Inputs'!$C$27,'Probabilities &amp; Price Slide'!$P$33:$T$370,3,TRUE))), N3=4, ('Variable Inputs'!$C$28+(VLOOKUP('Variable Inputs'!$C$27,'Probabilities &amp; Price Slide'!$P$33:$T$370,3,TRUE))), N3=11, ('Variable Inputs'!$C$28+(VLOOKUP('Variable Inputs'!$C$27,'Probabilities &amp; Price Slide'!$P$33:$T$370,3,TRUE))), N3=5, 'Variable Inputs'!$C$28, N3=6, 'Variable Inputs'!$C$28, N3=7, 'Variable Inputs'!$C$28, N3=8, 'Variable Inputs'!$C$28, N3=9, 'Variable Inputs'!$C$28, N3=10, 'Variable Inputs'!$C$28))-vc)))))</f>
        <v xml:space="preserve"> </v>
      </c>
      <c r="O6" s="88" t="str" cm="1">
        <f t="array" ref="O6">IF(O5=" "," ",(IF(O4=on,-vc,((('Variable Inputs'!$C$27-(VLOOKUP('NPV Scenario 1'!O3,'Probabilities &amp; Price Slide'!$B$20:$E$29,4,FALSE)))*(_xlfn.IFS(O3=2, ('Variable Inputs'!$C$28+(VLOOKUP('Variable Inputs'!$C$27,'Probabilities &amp; Price Slide'!$P$33:$T$370,3,TRUE))), O3=3, ('Variable Inputs'!$C$28+(VLOOKUP('Variable Inputs'!$C$27,'Probabilities &amp; Price Slide'!$P$33:$T$370,3,TRUE))), O3=4, ('Variable Inputs'!$C$28+(VLOOKUP('Variable Inputs'!$C$27,'Probabilities &amp; Price Slide'!$P$33:$T$370,3,TRUE))), O3=11, ('Variable Inputs'!$C$28+(VLOOKUP('Variable Inputs'!$C$27,'Probabilities &amp; Price Slide'!$P$33:$T$370,3,TRUE))), O3=5, 'Variable Inputs'!$C$28, O3=6, 'Variable Inputs'!$C$28, O3=7, 'Variable Inputs'!$C$28, O3=8, 'Variable Inputs'!$C$28, O3=9, 'Variable Inputs'!$C$28, O3=10, 'Variable Inputs'!$C$28))-vc)))))</f>
        <v xml:space="preserve"> </v>
      </c>
    </row>
    <row r="7" spans="1:29" x14ac:dyDescent="0.3">
      <c r="A7" s="87" t="s">
        <v>28</v>
      </c>
      <c r="B7" s="87"/>
      <c r="C7" s="88" t="str">
        <f>IF(C5=1,(-'Variable Inputs'!$C$36*'Variable Inputs'!$C$37), (IF(PC&gt;B4,(IF(D4=" ",(IF(C3&gt;8,'Variable Inputs'!$C$36*('Variable Inputs'!$C$37+'Probabilities &amp; Price Slide'!$B$38), S))," ")), " ")))</f>
        <v xml:space="preserve"> </v>
      </c>
      <c r="D7" s="88">
        <f>IF(D5=1,(-'Variable Inputs'!$C$36*'Variable Inputs'!$C$37), (IF(PC&gt;C4,(IF(E4=" ",(IF(D3&gt;8,'Variable Inputs'!$C$36*('Variable Inputs'!$C$37+'Probabilities &amp; Price Slide'!$B$38), S))," ")), " ")))</f>
        <v>-1080</v>
      </c>
      <c r="E7" s="88" t="str">
        <f>IF(E5=1,(-'Variable Inputs'!$C$36*'Variable Inputs'!$C$37), (IF(PC&gt;D4,(IF(F4=" ",(IF(E3&gt;8,'Variable Inputs'!$C$36*('Variable Inputs'!$C$37+'Probabilities &amp; Price Slide'!$B$38), S))," ")), " ")))</f>
        <v xml:space="preserve"> </v>
      </c>
      <c r="F7" s="88" t="str">
        <f>IF(F5=1,(-'Variable Inputs'!$C$36*'Variable Inputs'!$C$37), (IF(PC&gt;E4,(IF(G4=" ",(IF(F3&gt;8,'Variable Inputs'!$C$36*('Variable Inputs'!$C$37+'Probabilities &amp; Price Slide'!$B$38), S))," ")), " ")))</f>
        <v xml:space="preserve"> </v>
      </c>
      <c r="G7" s="88" t="str">
        <f>IF(G5=1,(-'Variable Inputs'!$C$36*'Variable Inputs'!$C$37), (IF(PC&gt;F4,(IF(H4=" ",(IF(G3&gt;8,'Variable Inputs'!$C$36*('Variable Inputs'!$C$37+'Probabilities &amp; Price Slide'!$B$38), S))," ")), " ")))</f>
        <v xml:space="preserve"> </v>
      </c>
      <c r="H7" s="88" t="str">
        <f>IF(H5=1,(-'Variable Inputs'!$C$36*'Variable Inputs'!$C$37), (IF(PC&gt;G4,(IF(I4=" ",(IF(H3&gt;8,'Variable Inputs'!$C$36*('Variable Inputs'!$C$37+'Probabilities &amp; Price Slide'!$B$38), S))," ")), " ")))</f>
        <v xml:space="preserve"> </v>
      </c>
      <c r="I7" s="88" t="str">
        <f>IF(I5=1,(-'Variable Inputs'!$C$36*'Variable Inputs'!$C$37), (IF(PC&gt;H4,(IF(J4=" ",(IF(I3&gt;8,'Variable Inputs'!$C$36*('Variable Inputs'!$C$37+'Probabilities &amp; Price Slide'!$B$38), S))," ")), " ")))</f>
        <v xml:space="preserve"> </v>
      </c>
      <c r="J7" s="88" t="str">
        <f>IF(J5=1,(-'Variable Inputs'!$C$36*'Variable Inputs'!$C$37), (IF(PC&gt;I4,(IF(K4=" ",(IF(J3&gt;8,'Variable Inputs'!$C$36*('Variable Inputs'!$C$37+'Probabilities &amp; Price Slide'!$B$38), S))," ")), " ")))</f>
        <v xml:space="preserve"> </v>
      </c>
      <c r="K7" s="88" t="str">
        <f>IF(K5=1,(-'Variable Inputs'!$C$36*'Variable Inputs'!$C$37), (IF(PC&gt;J4,(IF(L4=" ",(IF(K3&gt;8,'Variable Inputs'!$C$36*('Variable Inputs'!$C$37+'Probabilities &amp; Price Slide'!$B$38), S))," ")), " ")))</f>
        <v xml:space="preserve"> </v>
      </c>
      <c r="L7" s="88" t="str">
        <f>IF(L5=1,(-'Variable Inputs'!$C$36*'Variable Inputs'!$C$37), (IF(PC&gt;K4,(IF(M4=" ",(IF(L3&gt;8,'Variable Inputs'!$C$36*('Variable Inputs'!$C$37+'Probabilities &amp; Price Slide'!$B$38), S))," ")), " ")))</f>
        <v xml:space="preserve"> </v>
      </c>
      <c r="M7" s="88">
        <f>IF(M5=1,(-'Variable Inputs'!$C$36*'Variable Inputs'!$C$37), (IF(PC&gt;L4,(IF(N4=" ",(IF(M3&gt;8,'Variable Inputs'!$C$36*('Variable Inputs'!$C$37+'Probabilities &amp; Price Slide'!$B$38), S))," ")), " ")))</f>
        <v>810</v>
      </c>
      <c r="N7" s="88" t="str">
        <f>IF(N5=1,(-'Variable Inputs'!$C$36*'Variable Inputs'!$C$37), (IF(PC&gt;M4,(IF(O4=" ",(IF(N3&gt;8,'Variable Inputs'!$C$36*('Variable Inputs'!$C$37+'Probabilities &amp; Price Slide'!$B$38), S))," ")), " ")))</f>
        <v xml:space="preserve"> </v>
      </c>
      <c r="O7" s="88" t="str">
        <f>IF(O5=1,(-'Variable Inputs'!$C$36*'Variable Inputs'!$C$37), (IF(PC&gt;N4,(IF(P4=" ",(IF(O3&gt;8,'Variable Inputs'!$C$36*('Variable Inputs'!$C$37+'Probabilities &amp; Price Slide'!$B$38), S))," ")), " ")))</f>
        <v xml:space="preserve"> </v>
      </c>
    </row>
    <row r="8" spans="1:29" ht="15" thickBot="1" x14ac:dyDescent="0.35">
      <c r="A8" s="87" t="s">
        <v>45</v>
      </c>
      <c r="C8" s="89" t="str">
        <f>IF(C5=" "," ",(SUM(C6:C7)))</f>
        <v xml:space="preserve"> </v>
      </c>
      <c r="D8" s="89">
        <f t="shared" ref="D8:O8" si="4">IF(D5=" "," ",(SUM(D6:D7)))</f>
        <v>-1530</v>
      </c>
      <c r="E8" s="89">
        <f t="shared" si="4"/>
        <v>525.61637972684446</v>
      </c>
      <c r="F8" s="89">
        <f t="shared" si="4"/>
        <v>561.52851487382088</v>
      </c>
      <c r="G8" s="89">
        <f t="shared" si="4"/>
        <v>650</v>
      </c>
      <c r="H8" s="89">
        <f t="shared" si="4"/>
        <v>650</v>
      </c>
      <c r="I8" s="89">
        <f t="shared" si="4"/>
        <v>650</v>
      </c>
      <c r="J8" s="89">
        <f t="shared" si="4"/>
        <v>650</v>
      </c>
      <c r="K8" s="89">
        <f t="shared" si="4"/>
        <v>650</v>
      </c>
      <c r="L8" s="89">
        <f t="shared" si="4"/>
        <v>650</v>
      </c>
      <c r="M8" s="89">
        <f t="shared" si="4"/>
        <v>1371.5285148738208</v>
      </c>
      <c r="N8" s="89" t="str">
        <f t="shared" si="4"/>
        <v xml:space="preserve"> </v>
      </c>
      <c r="O8" s="89" t="str">
        <f t="shared" si="4"/>
        <v xml:space="preserve"> </v>
      </c>
    </row>
    <row r="9" spans="1:29" ht="15" thickBot="1" x14ac:dyDescent="0.35">
      <c r="A9" s="85" t="s">
        <v>46</v>
      </c>
      <c r="B9" s="68"/>
      <c r="C9" s="90" t="str">
        <f>IF(C5=" "," ",(C8*C5))</f>
        <v xml:space="preserve"> </v>
      </c>
      <c r="D9" s="90">
        <f t="shared" ref="D9:O9" si="5">IF(D5=" "," ",(D8*D5))</f>
        <v>-1530</v>
      </c>
      <c r="E9" s="90">
        <f t="shared" si="5"/>
        <v>500.58702831128039</v>
      </c>
      <c r="F9" s="90">
        <f t="shared" si="5"/>
        <v>509.32291598532504</v>
      </c>
      <c r="G9" s="90">
        <f t="shared" si="5"/>
        <v>561.49443904545944</v>
      </c>
      <c r="H9" s="90">
        <f t="shared" si="5"/>
        <v>534.75660861472329</v>
      </c>
      <c r="I9" s="90">
        <f t="shared" si="5"/>
        <v>509.2920082044983</v>
      </c>
      <c r="J9" s="90">
        <f t="shared" si="5"/>
        <v>485.04000781380796</v>
      </c>
      <c r="K9" s="90">
        <f t="shared" si="5"/>
        <v>461.94286458457896</v>
      </c>
      <c r="L9" s="90">
        <f t="shared" si="5"/>
        <v>439.94558531864669</v>
      </c>
      <c r="M9" s="90">
        <f>IF(M5=" "," ",(M8*M5))</f>
        <v>884.09950953461862</v>
      </c>
      <c r="N9" s="90" t="str">
        <f t="shared" si="5"/>
        <v xml:space="preserve"> </v>
      </c>
      <c r="O9" s="90" t="str">
        <f t="shared" si="5"/>
        <v xml:space="preserve"> </v>
      </c>
      <c r="P9" s="2">
        <f>SUM(C9:O9)</f>
        <v>3356.4809674129392</v>
      </c>
      <c r="Q9" s="91" t="s">
        <v>129</v>
      </c>
      <c r="R9" s="58"/>
    </row>
    <row r="10" spans="1:29" x14ac:dyDescent="0.3">
      <c r="A10" s="87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92"/>
      <c r="Q10" s="42"/>
    </row>
    <row r="11" spans="1:29" x14ac:dyDescent="0.3">
      <c r="A11" s="6" t="s">
        <v>47</v>
      </c>
      <c r="B11" s="83"/>
      <c r="C11" s="84"/>
      <c r="H11" s="82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</row>
    <row r="12" spans="1:29" x14ac:dyDescent="0.3">
      <c r="A12" s="85" t="s">
        <v>42</v>
      </c>
      <c r="B12" s="85"/>
      <c r="C12" s="114">
        <f>C13+1</f>
        <v>1</v>
      </c>
      <c r="D12" s="114">
        <f t="shared" ref="D12" si="6">D13+1</f>
        <v>2</v>
      </c>
      <c r="E12" s="114">
        <f>D12+1</f>
        <v>3</v>
      </c>
      <c r="F12" s="114">
        <f t="shared" ref="F12:O12" si="7">E12+1</f>
        <v>4</v>
      </c>
      <c r="G12" s="114">
        <f t="shared" si="7"/>
        <v>5</v>
      </c>
      <c r="H12" s="114">
        <f t="shared" si="7"/>
        <v>6</v>
      </c>
      <c r="I12" s="114">
        <f t="shared" si="7"/>
        <v>7</v>
      </c>
      <c r="J12" s="114">
        <f t="shared" si="7"/>
        <v>8</v>
      </c>
      <c r="K12" s="114">
        <f t="shared" si="7"/>
        <v>9</v>
      </c>
      <c r="L12" s="114">
        <f t="shared" si="7"/>
        <v>10</v>
      </c>
      <c r="M12" s="114">
        <f t="shared" si="7"/>
        <v>11</v>
      </c>
      <c r="N12" s="114">
        <f t="shared" si="7"/>
        <v>12</v>
      </c>
      <c r="O12" s="114">
        <f t="shared" si="7"/>
        <v>13</v>
      </c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</row>
    <row r="13" spans="1:29" x14ac:dyDescent="0.3">
      <c r="A13" s="85" t="s">
        <v>43</v>
      </c>
      <c r="B13" s="85"/>
      <c r="C13" s="114">
        <v>0</v>
      </c>
      <c r="D13" s="114">
        <v>1</v>
      </c>
      <c r="E13" s="114">
        <f t="shared" ref="E13:P13" si="8">IF(PC&gt;D13, D13+1, " ")</f>
        <v>2</v>
      </c>
      <c r="F13" s="114">
        <f t="shared" si="8"/>
        <v>3</v>
      </c>
      <c r="G13" s="114">
        <f t="shared" si="8"/>
        <v>4</v>
      </c>
      <c r="H13" s="114">
        <f t="shared" si="8"/>
        <v>5</v>
      </c>
      <c r="I13" s="114">
        <f t="shared" si="8"/>
        <v>6</v>
      </c>
      <c r="J13" s="114">
        <f t="shared" si="8"/>
        <v>7</v>
      </c>
      <c r="K13" s="114">
        <f t="shared" si="8"/>
        <v>8</v>
      </c>
      <c r="L13" s="114">
        <f t="shared" si="8"/>
        <v>9</v>
      </c>
      <c r="M13" s="114">
        <f t="shared" si="8"/>
        <v>10</v>
      </c>
      <c r="N13" s="114" t="str">
        <f t="shared" si="8"/>
        <v xml:space="preserve"> </v>
      </c>
      <c r="O13" s="114" t="str">
        <f t="shared" si="8"/>
        <v xml:space="preserve"> </v>
      </c>
      <c r="P13" s="4" t="str">
        <f t="shared" si="8"/>
        <v xml:space="preserve"> </v>
      </c>
      <c r="AA13" s="58"/>
      <c r="AB13" s="58"/>
      <c r="AC13" s="58"/>
    </row>
    <row r="14" spans="1:29" x14ac:dyDescent="0.3">
      <c r="A14" s="85" t="s">
        <v>44</v>
      </c>
      <c r="B14" s="85"/>
      <c r="C14" s="86" t="str">
        <f t="shared" ref="C14:O14" si="9">IF(C13=" ", " ", (IF(C13&gt;=on, (1/(1+i)^(C13-on))," ")))</f>
        <v xml:space="preserve"> </v>
      </c>
      <c r="D14" s="86">
        <f t="shared" si="9"/>
        <v>1</v>
      </c>
      <c r="E14" s="86">
        <f t="shared" si="9"/>
        <v>0.95238095238095233</v>
      </c>
      <c r="F14" s="86">
        <f t="shared" si="9"/>
        <v>0.90702947845804982</v>
      </c>
      <c r="G14" s="86">
        <f t="shared" si="9"/>
        <v>0.86383759853147601</v>
      </c>
      <c r="H14" s="86">
        <f t="shared" si="9"/>
        <v>0.82270247479188197</v>
      </c>
      <c r="I14" s="86">
        <f t="shared" si="9"/>
        <v>0.78352616646845896</v>
      </c>
      <c r="J14" s="86">
        <f t="shared" si="9"/>
        <v>0.74621539663662761</v>
      </c>
      <c r="K14" s="86">
        <f t="shared" si="9"/>
        <v>0.71068133013012147</v>
      </c>
      <c r="L14" s="86">
        <f t="shared" si="9"/>
        <v>0.67683936202868722</v>
      </c>
      <c r="M14" s="86">
        <f t="shared" si="9"/>
        <v>0.64460891621779726</v>
      </c>
      <c r="N14" s="86" t="str">
        <f t="shared" si="9"/>
        <v xml:space="preserve"> </v>
      </c>
      <c r="O14" s="86" t="str">
        <f t="shared" si="9"/>
        <v xml:space="preserve"> </v>
      </c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</row>
    <row r="15" spans="1:29" x14ac:dyDescent="0.3">
      <c r="A15" s="87" t="s">
        <v>27</v>
      </c>
      <c r="B15" s="87"/>
      <c r="C15" s="88" t="str" cm="1">
        <f t="array" ref="C15">IF(C14=" "," ",(IF(B13=on,-vc,(IF(B13=on-1,-vc,((('Variable Inputs'!$C$27-(VLOOKUP(C12, 'Probabilities &amp; Price Slide'!$B$20:$E$29,4, FALSE)))*(_xlfn.IFS(C12=2, ('Variable Inputs'!$C$28+(VLOOKUP('Variable Inputs'!$C$27,'Probabilities &amp; Price Slide'!$P$33:$T$370,3,TRUE))), C12=3, ('Variable Inputs'!$C$28+(VLOOKUP('Variable Inputs'!$C$27,'Probabilities &amp; Price Slide'!$P$33:$T$370,3,TRUE))), C12=4, ('Variable Inputs'!$C$28+(VLOOKUP('Variable Inputs'!$C$27,'Probabilities &amp; Price Slide'!$P$33:$T$370,3,TRUE))), C12=11, ('Variable Inputs'!$C$28+(VLOOKUP('Variable Inputs'!$C$27,'Probabilities &amp; Price Slide'!$P$33:$T$370,3,TRUE))), C12=5, 'Variable Inputs'!$C$28, C12=6, 'Variable Inputs'!$C$28, C12=7, 'Variable Inputs'!$C$28, C12=8, 'Variable Inputs'!$C$28, C12=9, 'Variable Inputs'!$C$28, C12=10, 'Variable Inputs'!$C$28)))-vc))))))</f>
        <v xml:space="preserve"> </v>
      </c>
      <c r="D15" s="88" cm="1">
        <f t="array" ref="D15">IF(D14=" "," ",(IF(C13=on,-vc,(IF(C13=on-1,-vc,((('Variable Inputs'!$C$27-(VLOOKUP(D12, 'Probabilities &amp; Price Slide'!$B$20:$E$29,4, FALSE)))*(_xlfn.IFS(D12=2, ('Variable Inputs'!$C$28+(VLOOKUP('Variable Inputs'!$C$27,'Probabilities &amp; Price Slide'!$P$33:$T$370,3,TRUE))), D12=3, ('Variable Inputs'!$C$28+(VLOOKUP('Variable Inputs'!$C$27,'Probabilities &amp; Price Slide'!$P$33:$T$370,3,TRUE))), D12=4, ('Variable Inputs'!$C$28+(VLOOKUP('Variable Inputs'!$C$27,'Probabilities &amp; Price Slide'!$P$33:$T$370,3,TRUE))), D12=11, ('Variable Inputs'!$C$28+(VLOOKUP('Variable Inputs'!$C$27,'Probabilities &amp; Price Slide'!$P$33:$T$370,3,TRUE))), D12=5, 'Variable Inputs'!$C$28, D12=6, 'Variable Inputs'!$C$28, D12=7, 'Variable Inputs'!$C$28, D12=8, 'Variable Inputs'!$C$28, D12=9, 'Variable Inputs'!$C$28, D12=10, 'Variable Inputs'!$C$28)))-vc))))))</f>
        <v>-450</v>
      </c>
      <c r="E15" s="88" cm="1">
        <f t="array" ref="E15">IF(E14=" "," ",(IF(D13=on,-vc,(IF(D13=on-1,-vc,((('Variable Inputs'!$C$27-(VLOOKUP(E12, 'Probabilities &amp; Price Slide'!$B$20:$E$29,4, FALSE)))*(_xlfn.IFS(E12=2, ('Variable Inputs'!$C$28+(VLOOKUP('Variable Inputs'!$C$27,'Probabilities &amp; Price Slide'!$P$33:$T$370,3,TRUE))), E12=3, ('Variable Inputs'!$C$28+(VLOOKUP('Variable Inputs'!$C$27,'Probabilities &amp; Price Slide'!$P$33:$T$370,3,TRUE))), E12=4, ('Variable Inputs'!$C$28+(VLOOKUP('Variable Inputs'!$C$27,'Probabilities &amp; Price Slide'!$P$33:$T$370,3,TRUE))), E12=11, ('Variable Inputs'!$C$28+(VLOOKUP('Variable Inputs'!$C$27,'Probabilities &amp; Price Slide'!$P$33:$T$370,3,TRUE))), E12=5, 'Variable Inputs'!$C$28, E12=6, 'Variable Inputs'!$C$28, E12=7, 'Variable Inputs'!$C$28, E12=8, 'Variable Inputs'!$C$28, E12=9, 'Variable Inputs'!$C$28, E12=10, 'Variable Inputs'!$C$28)))-vc))))))</f>
        <v>-450</v>
      </c>
      <c r="F15" s="88" cm="1">
        <f t="array" ref="F15">IF(F14=" "," ",(IF(E13=on,-vc,(IF(E13=on-1,-vc,((('Variable Inputs'!$C$27-(VLOOKUP(F12, 'Probabilities &amp; Price Slide'!$B$20:$E$29,4, FALSE)))*(_xlfn.IFS(F12=2, ('Variable Inputs'!$C$28+(VLOOKUP('Variable Inputs'!$C$27,'Probabilities &amp; Price Slide'!$P$33:$T$370,3,TRUE))), F12=3, ('Variable Inputs'!$C$28+(VLOOKUP('Variable Inputs'!$C$27,'Probabilities &amp; Price Slide'!$P$33:$T$370,3,TRUE))), F12=4, ('Variable Inputs'!$C$28+(VLOOKUP('Variable Inputs'!$C$27,'Probabilities &amp; Price Slide'!$P$33:$T$370,3,TRUE))), F12=11, ('Variable Inputs'!$C$28+(VLOOKUP('Variable Inputs'!$C$27,'Probabilities &amp; Price Slide'!$P$33:$T$370,3,TRUE))), F12=5, 'Variable Inputs'!$C$28, F12=6, 'Variable Inputs'!$C$28, F12=7, 'Variable Inputs'!$C$28, F12=8, 'Variable Inputs'!$C$28, F12=9, 'Variable Inputs'!$C$28, F12=10, 'Variable Inputs'!$C$28)))-vc))))))</f>
        <v>561.52851487382088</v>
      </c>
      <c r="G15" s="88" cm="1">
        <f t="array" ref="G15">IF(G14=" "," ",(IF(F13=on,-vc,(IF(F13=on-1,-vc,((('Variable Inputs'!$C$27-(VLOOKUP(G12, 'Probabilities &amp; Price Slide'!$B$20:$E$29,4, FALSE)))*(_xlfn.IFS(G12=2, ('Variable Inputs'!$C$28+(VLOOKUP('Variable Inputs'!$C$27,'Probabilities &amp; Price Slide'!$P$33:$T$370,3,TRUE))), G12=3, ('Variable Inputs'!$C$28+(VLOOKUP('Variable Inputs'!$C$27,'Probabilities &amp; Price Slide'!$P$33:$T$370,3,TRUE))), G12=4, ('Variable Inputs'!$C$28+(VLOOKUP('Variable Inputs'!$C$27,'Probabilities &amp; Price Slide'!$P$33:$T$370,3,TRUE))), G12=11, ('Variable Inputs'!$C$28+(VLOOKUP('Variable Inputs'!$C$27,'Probabilities &amp; Price Slide'!$P$33:$T$370,3,TRUE))), G12=5, 'Variable Inputs'!$C$28, G12=6, 'Variable Inputs'!$C$28, G12=7, 'Variable Inputs'!$C$28, G12=8, 'Variable Inputs'!$C$28, G12=9, 'Variable Inputs'!$C$28, G12=10, 'Variable Inputs'!$C$28)))-vc))))))</f>
        <v>650</v>
      </c>
      <c r="H15" s="88" cm="1">
        <f t="array" ref="H15">IF(H14=" "," ",(IF(G13=on,-vc,(IF(G13=on-1,-vc,((('Variable Inputs'!$C$27-(VLOOKUP(H12, 'Probabilities &amp; Price Slide'!$B$20:$E$29,4, FALSE)))*(_xlfn.IFS(H12=2, ('Variable Inputs'!$C$28+(VLOOKUP('Variable Inputs'!$C$27,'Probabilities &amp; Price Slide'!$P$33:$T$370,3,TRUE))), H12=3, ('Variable Inputs'!$C$28+(VLOOKUP('Variable Inputs'!$C$27,'Probabilities &amp; Price Slide'!$P$33:$T$370,3,TRUE))), H12=4, ('Variable Inputs'!$C$28+(VLOOKUP('Variable Inputs'!$C$27,'Probabilities &amp; Price Slide'!$P$33:$T$370,3,TRUE))), H12=11, ('Variable Inputs'!$C$28+(VLOOKUP('Variable Inputs'!$C$27,'Probabilities &amp; Price Slide'!$P$33:$T$370,3,TRUE))), H12=5, 'Variable Inputs'!$C$28, H12=6, 'Variable Inputs'!$C$28, H12=7, 'Variable Inputs'!$C$28, H12=8, 'Variable Inputs'!$C$28, H12=9, 'Variable Inputs'!$C$28, H12=10, 'Variable Inputs'!$C$28)))-vc))))))</f>
        <v>650</v>
      </c>
      <c r="I15" s="88" cm="1">
        <f t="array" ref="I15">IF(I14=" "," ",(IF(H13=on,-vc,(IF(H13=on-1,-vc,((('Variable Inputs'!$C$27-(VLOOKUP(I12, 'Probabilities &amp; Price Slide'!$B$20:$E$29,4, FALSE)))*(_xlfn.IFS(I12=2, ('Variable Inputs'!$C$28+(VLOOKUP('Variable Inputs'!$C$27,'Probabilities &amp; Price Slide'!$P$33:$T$370,3,TRUE))), I12=3, ('Variable Inputs'!$C$28+(VLOOKUP('Variable Inputs'!$C$27,'Probabilities &amp; Price Slide'!$P$33:$T$370,3,TRUE))), I12=4, ('Variable Inputs'!$C$28+(VLOOKUP('Variable Inputs'!$C$27,'Probabilities &amp; Price Slide'!$P$33:$T$370,3,TRUE))), I12=11, ('Variable Inputs'!$C$28+(VLOOKUP('Variable Inputs'!$C$27,'Probabilities &amp; Price Slide'!$P$33:$T$370,3,TRUE))), I12=5, 'Variable Inputs'!$C$28, I12=6, 'Variable Inputs'!$C$28, I12=7, 'Variable Inputs'!$C$28, I12=8, 'Variable Inputs'!$C$28, I12=9, 'Variable Inputs'!$C$28, I12=10, 'Variable Inputs'!$C$28)))-vc))))))</f>
        <v>650</v>
      </c>
      <c r="J15" s="88" cm="1">
        <f t="array" ref="J15">IF(J14=" "," ",(IF(I13=on,-vc,(IF(I13=on-1,-vc,((('Variable Inputs'!$C$27-(VLOOKUP(J12, 'Probabilities &amp; Price Slide'!$B$20:$E$29,4, FALSE)))*(_xlfn.IFS(J12=2, ('Variable Inputs'!$C$28+(VLOOKUP('Variable Inputs'!$C$27,'Probabilities &amp; Price Slide'!$P$33:$T$370,3,TRUE))), J12=3, ('Variable Inputs'!$C$28+(VLOOKUP('Variable Inputs'!$C$27,'Probabilities &amp; Price Slide'!$P$33:$T$370,3,TRUE))), J12=4, ('Variable Inputs'!$C$28+(VLOOKUP('Variable Inputs'!$C$27,'Probabilities &amp; Price Slide'!$P$33:$T$370,3,TRUE))), J12=11, ('Variable Inputs'!$C$28+(VLOOKUP('Variable Inputs'!$C$27,'Probabilities &amp; Price Slide'!$P$33:$T$370,3,TRUE))), J12=5, 'Variable Inputs'!$C$28, J12=6, 'Variable Inputs'!$C$28, J12=7, 'Variable Inputs'!$C$28, J12=8, 'Variable Inputs'!$C$28, J12=9, 'Variable Inputs'!$C$28, J12=10, 'Variable Inputs'!$C$28)))-vc))))))</f>
        <v>650</v>
      </c>
      <c r="K15" s="88" cm="1">
        <f t="array" ref="K15">IF(K14=" "," ",(IF(J13=on,-vc,(IF(J13=on-1,-vc,((('Variable Inputs'!$C$27-(VLOOKUP(K12, 'Probabilities &amp; Price Slide'!$B$20:$E$29,4, FALSE)))*(_xlfn.IFS(K12=2, ('Variable Inputs'!$C$28+(VLOOKUP('Variable Inputs'!$C$27,'Probabilities &amp; Price Slide'!$P$33:$T$370,3,TRUE))), K12=3, ('Variable Inputs'!$C$28+(VLOOKUP('Variable Inputs'!$C$27,'Probabilities &amp; Price Slide'!$P$33:$T$370,3,TRUE))), K12=4, ('Variable Inputs'!$C$28+(VLOOKUP('Variable Inputs'!$C$27,'Probabilities &amp; Price Slide'!$P$33:$T$370,3,TRUE))), K12=11, ('Variable Inputs'!$C$28+(VLOOKUP('Variable Inputs'!$C$27,'Probabilities &amp; Price Slide'!$P$33:$T$370,3,TRUE))), K12=5, 'Variable Inputs'!$C$28, K12=6, 'Variable Inputs'!$C$28, K12=7, 'Variable Inputs'!$C$28, K12=8, 'Variable Inputs'!$C$28, K12=9, 'Variable Inputs'!$C$28, K12=10, 'Variable Inputs'!$C$28)))-vc))))))</f>
        <v>650</v>
      </c>
      <c r="L15" s="88" cm="1">
        <f t="array" ref="L15">IF(L14=" "," ",(IF(K13=on,-vc,(IF(K13=on-1,-vc,((('Variable Inputs'!$C$27-(VLOOKUP(L12, 'Probabilities &amp; Price Slide'!$B$20:$E$29,4, FALSE)))*(_xlfn.IFS(L12=2, ('Variable Inputs'!$C$28+(VLOOKUP('Variable Inputs'!$C$27,'Probabilities &amp; Price Slide'!$P$33:$T$370,3,TRUE))), L12=3, ('Variable Inputs'!$C$28+(VLOOKUP('Variable Inputs'!$C$27,'Probabilities &amp; Price Slide'!$P$33:$T$370,3,TRUE))), L12=4, ('Variable Inputs'!$C$28+(VLOOKUP('Variable Inputs'!$C$27,'Probabilities &amp; Price Slide'!$P$33:$T$370,3,TRUE))), L12=11, ('Variable Inputs'!$C$28+(VLOOKUP('Variable Inputs'!$C$27,'Probabilities &amp; Price Slide'!$P$33:$T$370,3,TRUE))), L12=5, 'Variable Inputs'!$C$28, L12=6, 'Variable Inputs'!$C$28, L12=7, 'Variable Inputs'!$C$28, L12=8, 'Variable Inputs'!$C$28, L12=9, 'Variable Inputs'!$C$28, L12=10, 'Variable Inputs'!$C$28)))-vc))))))</f>
        <v>650</v>
      </c>
      <c r="M15" s="88" cm="1">
        <f t="array" ref="M15">IF(M14=" "," ",(IF(L13=on,-vc,(IF(L13=on-1,-vc,((('Variable Inputs'!$C$27-(VLOOKUP(M12, 'Probabilities &amp; Price Slide'!$B$20:$E$29,4, FALSE)))*(_xlfn.IFS(M12=2, ('Variable Inputs'!$C$28+(VLOOKUP('Variable Inputs'!$C$27,'Probabilities &amp; Price Slide'!$P$33:$T$370,3,TRUE))), M12=3, ('Variable Inputs'!$C$28+(VLOOKUP('Variable Inputs'!$C$27,'Probabilities &amp; Price Slide'!$P$33:$T$370,3,TRUE))), M12=4, ('Variable Inputs'!$C$28+(VLOOKUP('Variable Inputs'!$C$27,'Probabilities &amp; Price Slide'!$P$33:$T$370,3,TRUE))), M12=11, ('Variable Inputs'!$C$28+(VLOOKUP('Variable Inputs'!$C$27,'Probabilities &amp; Price Slide'!$P$33:$T$370,3,TRUE))), M12=5, 'Variable Inputs'!$C$28, M12=6, 'Variable Inputs'!$C$28, M12=7, 'Variable Inputs'!$C$28, M12=8, 'Variable Inputs'!$C$28, M12=9, 'Variable Inputs'!$C$28, M12=10, 'Variable Inputs'!$C$28)))-vc))))))</f>
        <v>561.52851487382088</v>
      </c>
      <c r="N15" s="88" t="str" cm="1">
        <f t="array" ref="N15">IF(N14=" "," ",(IF(M13=on,-vc,(IF(M13=on-1,-vc,((('Variable Inputs'!$C$27-(VLOOKUP(N12, 'Probabilities &amp; Price Slide'!$B$20:$E$29,4, FALSE)))*(_xlfn.IFS(N12=2, ('Variable Inputs'!$C$28+(VLOOKUP('Variable Inputs'!$C$27,'Probabilities &amp; Price Slide'!$P$33:$T$370,3,TRUE))), N12=3, ('Variable Inputs'!$C$28+(VLOOKUP('Variable Inputs'!$C$27,'Probabilities &amp; Price Slide'!$P$33:$T$370,3,TRUE))), N12=4, ('Variable Inputs'!$C$28+(VLOOKUP('Variable Inputs'!$C$27,'Probabilities &amp; Price Slide'!$P$33:$T$370,3,TRUE))), N12=11, ('Variable Inputs'!$C$28+(VLOOKUP('Variable Inputs'!$C$27,'Probabilities &amp; Price Slide'!$P$33:$T$370,3,TRUE))), N12=5, 'Variable Inputs'!$C$28, N12=6, 'Variable Inputs'!$C$28, N12=7, 'Variable Inputs'!$C$28, N12=8, 'Variable Inputs'!$C$28, N12=9, 'Variable Inputs'!$C$28, N12=10, 'Variable Inputs'!$C$28)))-vc))))))</f>
        <v xml:space="preserve"> </v>
      </c>
      <c r="O15" s="88" t="str" cm="1">
        <f t="array" ref="O15">IF(O14=" "," ",(IF(N13=on,-vc,(IF(N13=on-1,-vc,((('Variable Inputs'!$C$27-(VLOOKUP(O12, 'Probabilities &amp; Price Slide'!$B$20:$E$29,4, FALSE)))*(_xlfn.IFS(O12=2, ('Variable Inputs'!$C$28+(VLOOKUP('Variable Inputs'!$C$27,'Probabilities &amp; Price Slide'!$P$33:$T$370,3,TRUE))), O12=3, ('Variable Inputs'!$C$28+(VLOOKUP('Variable Inputs'!$C$27,'Probabilities &amp; Price Slide'!$P$33:$T$370,3,TRUE))), O12=4, ('Variable Inputs'!$C$28+(VLOOKUP('Variable Inputs'!$C$27,'Probabilities &amp; Price Slide'!$P$33:$T$370,3,TRUE))), O12=11, ('Variable Inputs'!$C$28+(VLOOKUP('Variable Inputs'!$C$27,'Probabilities &amp; Price Slide'!$P$33:$T$370,3,TRUE))), O12=5, 'Variable Inputs'!$C$28, O12=6, 'Variable Inputs'!$C$28, O12=7, 'Variable Inputs'!$C$28, O12=8, 'Variable Inputs'!$C$28, O12=9, 'Variable Inputs'!$C$28, O12=10, 'Variable Inputs'!$C$28)))-vc))))))</f>
        <v xml:space="preserve"> </v>
      </c>
    </row>
    <row r="16" spans="1:29" x14ac:dyDescent="0.3">
      <c r="A16" s="87" t="s">
        <v>28</v>
      </c>
      <c r="B16" s="87"/>
      <c r="C16" s="88" t="str">
        <f>IF(C14=1,(-'Variable Inputs'!$C$36*'Variable Inputs'!$C$37), (IF(PC&gt;B13,(IF(D13=" ",(IF(C12&gt;8,'Variable Inputs'!$C$36*('Variable Inputs'!$C$37+'Probabilities &amp; Price Slide'!$B$38), S))," ")), " ")))</f>
        <v xml:space="preserve"> </v>
      </c>
      <c r="D16" s="88">
        <f>IF(D14=1,(-'Variable Inputs'!$C$36*'Variable Inputs'!$C$37), (IF(PC&gt;C13,(IF(E13=" ",(IF(D12&gt;8,'Variable Inputs'!$C$36*('Variable Inputs'!$C$37+'Probabilities &amp; Price Slide'!$B$38), S))," ")), " ")))</f>
        <v>-1080</v>
      </c>
      <c r="E16" s="88" t="str">
        <f>IF(E14=1,(-'Variable Inputs'!$C$36*'Variable Inputs'!$C$37), (IF(PC&gt;D13,(IF(F13=" ",(IF(E12&gt;8,'Variable Inputs'!$C$36*('Variable Inputs'!$C$37+'Probabilities &amp; Price Slide'!$B$38), S))," ")), " ")))</f>
        <v xml:space="preserve"> </v>
      </c>
      <c r="F16" s="88" t="str">
        <f>IF(F14=1,(-'Variable Inputs'!$C$36*'Variable Inputs'!$C$37), (IF(PC&gt;E13,(IF(G13=" ",(IF(F12&gt;8,'Variable Inputs'!$C$36*('Variable Inputs'!$C$37+'Probabilities &amp; Price Slide'!$B$38), S))," ")), " ")))</f>
        <v xml:space="preserve"> </v>
      </c>
      <c r="G16" s="88" t="str">
        <f>IF(G14=1,(-'Variable Inputs'!$C$36*'Variable Inputs'!$C$37), (IF(PC&gt;F13,(IF(H13=" ",(IF(G12&gt;8,'Variable Inputs'!$C$36*('Variable Inputs'!$C$37+'Probabilities &amp; Price Slide'!$B$38), S))," ")), " ")))</f>
        <v xml:space="preserve"> </v>
      </c>
      <c r="H16" s="88" t="str">
        <f>IF(H14=1,(-'Variable Inputs'!$C$36*'Variable Inputs'!$C$37), (IF(PC&gt;G13,(IF(I13=" ",(IF(H12&gt;8,'Variable Inputs'!$C$36*('Variable Inputs'!$C$37+'Probabilities &amp; Price Slide'!$B$38), S))," ")), " ")))</f>
        <v xml:space="preserve"> </v>
      </c>
      <c r="I16" s="88" t="str">
        <f>IF(I14=1,(-'Variable Inputs'!$C$36*'Variable Inputs'!$C$37), (IF(PC&gt;H13,(IF(J13=" ",(IF(I12&gt;8,'Variable Inputs'!$C$36*('Variable Inputs'!$C$37+'Probabilities &amp; Price Slide'!$B$38), S))," ")), " ")))</f>
        <v xml:space="preserve"> </v>
      </c>
      <c r="J16" s="88" t="str">
        <f>IF(J14=1,(-'Variable Inputs'!$C$36*'Variable Inputs'!$C$37), (IF(PC&gt;I13,(IF(K13=" ",(IF(J12&gt;8,'Variable Inputs'!$C$36*('Variable Inputs'!$C$37+'Probabilities &amp; Price Slide'!$B$38), S))," ")), " ")))</f>
        <v xml:space="preserve"> </v>
      </c>
      <c r="K16" s="88" t="str">
        <f>IF(K14=1,(-'Variable Inputs'!$C$36*'Variable Inputs'!$C$37), (IF(PC&gt;J13,(IF(L13=" ",(IF(K12&gt;8,'Variable Inputs'!$C$36*('Variable Inputs'!$C$37+'Probabilities &amp; Price Slide'!$B$38), S))," ")), " ")))</f>
        <v xml:space="preserve"> </v>
      </c>
      <c r="L16" s="88" t="str">
        <f>IF(L14=1,(-'Variable Inputs'!$C$36*'Variable Inputs'!$C$37), (IF(PC&gt;K13,(IF(M13=" ",(IF(L12&gt;8,'Variable Inputs'!$C$36*('Variable Inputs'!$C$37+'Probabilities &amp; Price Slide'!$B$38), S))," ")), " ")))</f>
        <v xml:space="preserve"> </v>
      </c>
      <c r="M16" s="88">
        <f>IF(M14=1,(-'Variable Inputs'!$C$36*'Variable Inputs'!$C$37), (IF(PC&gt;L13,(IF(N13=" ",(IF(M12&gt;8,'Variable Inputs'!$C$36*('Variable Inputs'!$C$37+'Probabilities &amp; Price Slide'!$B$38), S))," ")), " ")))</f>
        <v>810</v>
      </c>
      <c r="N16" s="88" t="str">
        <f>IF(N14=1,(-'Variable Inputs'!$C$36*'Variable Inputs'!$C$37), (IF(PC&gt;M13,(IF(O13=" ",(IF(N12&gt;8,'Variable Inputs'!$C$36*('Variable Inputs'!$C$37+'Probabilities &amp; Price Slide'!$B$38), S))," ")), " ")))</f>
        <v xml:space="preserve"> </v>
      </c>
      <c r="O16" s="88" t="str">
        <f>IF(O14=1,(-'Variable Inputs'!$C$36*'Variable Inputs'!$C$37), (IF(PC&gt;N13,(IF(P13=" ",(IF(O12&gt;8,'Variable Inputs'!$C$36*('Variable Inputs'!$C$37+'Probabilities &amp; Price Slide'!$B$38), S))," ")), " ")))</f>
        <v xml:space="preserve"> </v>
      </c>
    </row>
    <row r="17" spans="1:29" ht="15" thickBot="1" x14ac:dyDescent="0.35">
      <c r="A17" s="87" t="s">
        <v>45</v>
      </c>
      <c r="C17" s="89" t="str">
        <f>IF(C14=" "," ",(SUM(C15:C16)))</f>
        <v xml:space="preserve"> </v>
      </c>
      <c r="D17" s="89">
        <f t="shared" ref="D17:O17" si="10">IF(D14=" "," ",(SUM(D15:D16)))</f>
        <v>-1530</v>
      </c>
      <c r="E17" s="89">
        <f t="shared" si="10"/>
        <v>-450</v>
      </c>
      <c r="F17" s="89">
        <f t="shared" si="10"/>
        <v>561.52851487382088</v>
      </c>
      <c r="G17" s="89">
        <f t="shared" si="10"/>
        <v>650</v>
      </c>
      <c r="H17" s="89">
        <f t="shared" si="10"/>
        <v>650</v>
      </c>
      <c r="I17" s="89">
        <f t="shared" si="10"/>
        <v>650</v>
      </c>
      <c r="J17" s="89">
        <f t="shared" si="10"/>
        <v>650</v>
      </c>
      <c r="K17" s="89">
        <f t="shared" si="10"/>
        <v>650</v>
      </c>
      <c r="L17" s="89">
        <f t="shared" si="10"/>
        <v>650</v>
      </c>
      <c r="M17" s="89">
        <f t="shared" si="10"/>
        <v>1371.5285148738208</v>
      </c>
      <c r="N17" s="89" t="str">
        <f t="shared" si="10"/>
        <v xml:space="preserve"> </v>
      </c>
      <c r="O17" s="89" t="str">
        <f t="shared" si="10"/>
        <v xml:space="preserve"> </v>
      </c>
    </row>
    <row r="18" spans="1:29" ht="15" thickBot="1" x14ac:dyDescent="0.35">
      <c r="A18" s="85" t="s">
        <v>46</v>
      </c>
      <c r="B18" s="68"/>
      <c r="C18" s="90" t="str">
        <f>IF(C14=" "," ",(C17*C14))</f>
        <v xml:space="preserve"> </v>
      </c>
      <c r="D18" s="90">
        <f t="shared" ref="D18:O18" si="11">IF(D14=" "," ",(D17*D14))</f>
        <v>-1530</v>
      </c>
      <c r="E18" s="90">
        <f t="shared" si="11"/>
        <v>-428.57142857142856</v>
      </c>
      <c r="F18" s="90">
        <f t="shared" si="11"/>
        <v>509.32291598532504</v>
      </c>
      <c r="G18" s="90">
        <f t="shared" si="11"/>
        <v>561.49443904545944</v>
      </c>
      <c r="H18" s="90">
        <f t="shared" si="11"/>
        <v>534.75660861472329</v>
      </c>
      <c r="I18" s="90">
        <f t="shared" si="11"/>
        <v>509.2920082044983</v>
      </c>
      <c r="J18" s="90">
        <f t="shared" si="11"/>
        <v>485.04000781380796</v>
      </c>
      <c r="K18" s="90">
        <f t="shared" si="11"/>
        <v>461.94286458457896</v>
      </c>
      <c r="L18" s="90">
        <f t="shared" si="11"/>
        <v>439.94558531864669</v>
      </c>
      <c r="M18" s="90">
        <f t="shared" si="11"/>
        <v>884.09950953461862</v>
      </c>
      <c r="N18" s="90" t="str">
        <f t="shared" si="11"/>
        <v xml:space="preserve"> </v>
      </c>
      <c r="O18" s="90" t="str">
        <f t="shared" si="11"/>
        <v xml:space="preserve"> </v>
      </c>
      <c r="P18" s="2">
        <f>SUM(C18:O18)</f>
        <v>2427.3225105302299</v>
      </c>
      <c r="Q18" s="91" t="s">
        <v>128</v>
      </c>
    </row>
    <row r="19" spans="1:29" x14ac:dyDescent="0.3">
      <c r="A19" s="87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92"/>
      <c r="Q19" s="42"/>
    </row>
    <row r="20" spans="1:29" ht="17.25" customHeight="1" x14ac:dyDescent="0.3">
      <c r="A20" s="87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92"/>
      <c r="Q20" s="42"/>
    </row>
    <row r="21" spans="1:29" x14ac:dyDescent="0.3">
      <c r="A21" s="6" t="s">
        <v>48</v>
      </c>
      <c r="B21" s="83"/>
      <c r="C21" s="84"/>
      <c r="H21" s="82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</row>
    <row r="22" spans="1:29" x14ac:dyDescent="0.3">
      <c r="A22" s="85" t="s">
        <v>42</v>
      </c>
      <c r="B22" s="85"/>
      <c r="C22" s="114">
        <f>C23+1</f>
        <v>1</v>
      </c>
      <c r="D22" s="114">
        <f t="shared" ref="D22" si="12">D23+1</f>
        <v>2</v>
      </c>
      <c r="E22" s="114">
        <f>D22+1</f>
        <v>3</v>
      </c>
      <c r="F22" s="114">
        <f t="shared" ref="F22:O22" si="13">E22+1</f>
        <v>4</v>
      </c>
      <c r="G22" s="114">
        <f t="shared" si="13"/>
        <v>5</v>
      </c>
      <c r="H22" s="114">
        <f t="shared" si="13"/>
        <v>6</v>
      </c>
      <c r="I22" s="114">
        <f t="shared" si="13"/>
        <v>7</v>
      </c>
      <c r="J22" s="114">
        <f t="shared" si="13"/>
        <v>8</v>
      </c>
      <c r="K22" s="114">
        <f t="shared" si="13"/>
        <v>9</v>
      </c>
      <c r="L22" s="114">
        <f t="shared" si="13"/>
        <v>10</v>
      </c>
      <c r="M22" s="114">
        <f t="shared" si="13"/>
        <v>11</v>
      </c>
      <c r="N22" s="114">
        <f t="shared" si="13"/>
        <v>12</v>
      </c>
      <c r="O22" s="114">
        <f t="shared" si="13"/>
        <v>13</v>
      </c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</row>
    <row r="23" spans="1:29" x14ac:dyDescent="0.3">
      <c r="A23" s="85" t="s">
        <v>43</v>
      </c>
      <c r="B23" s="85"/>
      <c r="C23" s="114">
        <v>0</v>
      </c>
      <c r="D23" s="114">
        <v>1</v>
      </c>
      <c r="E23" s="114">
        <f t="shared" ref="E23:P23" si="14">IF(PC&gt;D23, D23+1, " ")</f>
        <v>2</v>
      </c>
      <c r="F23" s="114">
        <f t="shared" si="14"/>
        <v>3</v>
      </c>
      <c r="G23" s="114">
        <f t="shared" si="14"/>
        <v>4</v>
      </c>
      <c r="H23" s="114">
        <f t="shared" si="14"/>
        <v>5</v>
      </c>
      <c r="I23" s="114">
        <f t="shared" si="14"/>
        <v>6</v>
      </c>
      <c r="J23" s="114">
        <f t="shared" si="14"/>
        <v>7</v>
      </c>
      <c r="K23" s="114">
        <f t="shared" si="14"/>
        <v>8</v>
      </c>
      <c r="L23" s="114">
        <f t="shared" si="14"/>
        <v>9</v>
      </c>
      <c r="M23" s="114">
        <f t="shared" si="14"/>
        <v>10</v>
      </c>
      <c r="N23" s="114" t="str">
        <f t="shared" si="14"/>
        <v xml:space="preserve"> </v>
      </c>
      <c r="O23" s="114" t="str">
        <f t="shared" si="14"/>
        <v xml:space="preserve"> </v>
      </c>
      <c r="P23" s="4" t="str">
        <f t="shared" si="14"/>
        <v xml:space="preserve"> </v>
      </c>
      <c r="AA23" s="58"/>
      <c r="AB23" s="58"/>
      <c r="AC23" s="58"/>
    </row>
    <row r="24" spans="1:29" x14ac:dyDescent="0.3">
      <c r="A24" s="85" t="s">
        <v>44</v>
      </c>
      <c r="B24" s="85"/>
      <c r="C24" s="86" t="str">
        <f t="shared" ref="C24:O24" si="15">IF(C23=" ", " ", (IF(C23&gt;=on, (1/(1+i)^(C23-on))," ")))</f>
        <v xml:space="preserve"> </v>
      </c>
      <c r="D24" s="86">
        <f t="shared" si="15"/>
        <v>1</v>
      </c>
      <c r="E24" s="86">
        <f t="shared" si="15"/>
        <v>0.95238095238095233</v>
      </c>
      <c r="F24" s="86">
        <f t="shared" si="15"/>
        <v>0.90702947845804982</v>
      </c>
      <c r="G24" s="86">
        <f t="shared" si="15"/>
        <v>0.86383759853147601</v>
      </c>
      <c r="H24" s="86">
        <f t="shared" si="15"/>
        <v>0.82270247479188197</v>
      </c>
      <c r="I24" s="86">
        <f t="shared" si="15"/>
        <v>0.78352616646845896</v>
      </c>
      <c r="J24" s="86">
        <f t="shared" si="15"/>
        <v>0.74621539663662761</v>
      </c>
      <c r="K24" s="86">
        <f t="shared" si="15"/>
        <v>0.71068133013012147</v>
      </c>
      <c r="L24" s="86">
        <f t="shared" si="15"/>
        <v>0.67683936202868722</v>
      </c>
      <c r="M24" s="86">
        <f t="shared" si="15"/>
        <v>0.64460891621779726</v>
      </c>
      <c r="N24" s="86" t="str">
        <f t="shared" si="15"/>
        <v xml:space="preserve"> </v>
      </c>
      <c r="O24" s="86" t="str">
        <f t="shared" si="15"/>
        <v xml:space="preserve"> </v>
      </c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</row>
    <row r="25" spans="1:29" x14ac:dyDescent="0.3">
      <c r="A25" s="87" t="s">
        <v>27</v>
      </c>
      <c r="B25" s="87"/>
      <c r="C25" s="88" t="str">
        <f t="shared" ref="C25:O25" si="16">IF(C24=" "," ",(IF(C23=on,-vc,0)))</f>
        <v xml:space="preserve"> </v>
      </c>
      <c r="D25" s="88">
        <f t="shared" si="16"/>
        <v>-450</v>
      </c>
      <c r="E25" s="88">
        <f t="shared" si="16"/>
        <v>0</v>
      </c>
      <c r="F25" s="88">
        <f t="shared" si="16"/>
        <v>0</v>
      </c>
      <c r="G25" s="88">
        <f t="shared" si="16"/>
        <v>0</v>
      </c>
      <c r="H25" s="88">
        <f t="shared" si="16"/>
        <v>0</v>
      </c>
      <c r="I25" s="88">
        <f t="shared" si="16"/>
        <v>0</v>
      </c>
      <c r="J25" s="88">
        <f t="shared" si="16"/>
        <v>0</v>
      </c>
      <c r="K25" s="88">
        <f t="shared" si="16"/>
        <v>0</v>
      </c>
      <c r="L25" s="88">
        <f t="shared" si="16"/>
        <v>0</v>
      </c>
      <c r="M25" s="88">
        <f t="shared" si="16"/>
        <v>0</v>
      </c>
      <c r="N25" s="88" t="str">
        <f t="shared" si="16"/>
        <v xml:space="preserve"> </v>
      </c>
      <c r="O25" s="88" t="str">
        <f t="shared" si="16"/>
        <v xml:space="preserve"> </v>
      </c>
    </row>
    <row r="26" spans="1:29" x14ac:dyDescent="0.3">
      <c r="A26" s="87" t="s">
        <v>28</v>
      </c>
      <c r="B26" s="87"/>
      <c r="C26" s="88" t="str">
        <f>IF(PC&gt;B23,(IF(C25=-vc,(IF(C22&gt;8,'Variable Inputs'!$C$36*('Variable Inputs'!$C$37+'Probabilities &amp; Price Slide'!$B$38), S))," "))," ")</f>
        <v xml:space="preserve"> </v>
      </c>
      <c r="D26" s="88">
        <f>IF(PC&gt;C23,(IF(D25=-vc,(IF(D22&gt;8,'Variable Inputs'!$C$36*('Variable Inputs'!$C$37+'Probabilities &amp; Price Slide'!$B$38), S))," "))," ")</f>
        <v>1080</v>
      </c>
      <c r="E26" s="88" t="str">
        <f>IF(PC&gt;D23,(IF(E25=-vc,(IF(E22&gt;8,'Variable Inputs'!$C$36*('Variable Inputs'!$C$37+'Probabilities &amp; Price Slide'!$B$38), S))," "))," ")</f>
        <v xml:space="preserve"> </v>
      </c>
      <c r="F26" s="88" t="str">
        <f>IF(PC&gt;E23,(IF(F25=-vc,(IF(F22&gt;8,'Variable Inputs'!$C$36*('Variable Inputs'!$C$37+'Probabilities &amp; Price Slide'!$B$38), S))," "))," ")</f>
        <v xml:space="preserve"> </v>
      </c>
      <c r="G26" s="88" t="str">
        <f>IF(PC&gt;F23,(IF(G25=-vc,(IF(G22&gt;8,'Variable Inputs'!$C$36*('Variable Inputs'!$C$37+'Probabilities &amp; Price Slide'!$B$38), S))," "))," ")</f>
        <v xml:space="preserve"> </v>
      </c>
      <c r="H26" s="88" t="str">
        <f>IF(PC&gt;G23,(IF(H25=-vc,(IF(H22&gt;8,'Variable Inputs'!$C$36*('Variable Inputs'!$C$37+'Probabilities &amp; Price Slide'!$B$38), S))," "))," ")</f>
        <v xml:space="preserve"> </v>
      </c>
      <c r="I26" s="88" t="str">
        <f>IF(PC&gt;H23,(IF(I25=-vc,(IF(I22&gt;8,'Variable Inputs'!$C$36*('Variable Inputs'!$C$37+'Probabilities &amp; Price Slide'!$B$38), S))," "))," ")</f>
        <v xml:space="preserve"> </v>
      </c>
      <c r="J26" s="88" t="str">
        <f>IF(PC&gt;I23,(IF(J25=-vc,(IF(J22&gt;8,'Variable Inputs'!$C$36*('Variable Inputs'!$C$37+'Probabilities &amp; Price Slide'!$B$38), S))," "))," ")</f>
        <v xml:space="preserve"> </v>
      </c>
      <c r="K26" s="88" t="str">
        <f>IF(PC&gt;J23,(IF(K25=-vc,(IF(K22&gt;8,'Variable Inputs'!$C$36*('Variable Inputs'!$C$37+'Probabilities &amp; Price Slide'!$B$38), S))," "))," ")</f>
        <v xml:space="preserve"> </v>
      </c>
      <c r="L26" s="88" t="str">
        <f>IF(PC&gt;K23,(IF(L25=-vc,(IF(L22&gt;8,'Variable Inputs'!$C$36*('Variable Inputs'!$C$37+'Probabilities &amp; Price Slide'!$B$38), S))," "))," ")</f>
        <v xml:space="preserve"> </v>
      </c>
      <c r="M26" s="88" t="str">
        <f>IF(PC&gt;L23,(IF(M25=-vc,(IF(M22&gt;8,'Variable Inputs'!$C$36*('Variable Inputs'!$C$37+'Probabilities &amp; Price Slide'!$B$38), S))," "))," ")</f>
        <v xml:space="preserve"> </v>
      </c>
      <c r="N26" s="88" t="str">
        <f>IF(PC&gt;M23,(IF(N25=-vc,(IF(N22&gt;8,'Variable Inputs'!$C$36*('Variable Inputs'!$C$37+'Probabilities &amp; Price Slide'!$B$38), S))," "))," ")</f>
        <v xml:space="preserve"> </v>
      </c>
      <c r="O26" s="88" t="str">
        <f>IF(PC&gt;N23,(IF(O25=-vc,(IF(O22&gt;8,'Variable Inputs'!$C$36*('Variable Inputs'!$C$37+'Probabilities &amp; Price Slide'!$B$38), S))," "))," ")</f>
        <v xml:space="preserve"> </v>
      </c>
    </row>
    <row r="27" spans="1:29" ht="15" thickBot="1" x14ac:dyDescent="0.35">
      <c r="A27" s="87" t="s">
        <v>45</v>
      </c>
      <c r="C27" s="89" t="str">
        <f>IF(C24=" "," ",(SUM(C25:C26)))</f>
        <v xml:space="preserve"> </v>
      </c>
      <c r="D27" s="89">
        <f t="shared" ref="D27:O27" si="17">IF(D24=" "," ",(SUM(D25:D26)))</f>
        <v>630</v>
      </c>
      <c r="E27" s="89">
        <f t="shared" si="17"/>
        <v>0</v>
      </c>
      <c r="F27" s="89">
        <f t="shared" si="17"/>
        <v>0</v>
      </c>
      <c r="G27" s="89">
        <f t="shared" si="17"/>
        <v>0</v>
      </c>
      <c r="H27" s="89">
        <f t="shared" si="17"/>
        <v>0</v>
      </c>
      <c r="I27" s="89">
        <f t="shared" si="17"/>
        <v>0</v>
      </c>
      <c r="J27" s="89">
        <f t="shared" si="17"/>
        <v>0</v>
      </c>
      <c r="K27" s="89">
        <f t="shared" si="17"/>
        <v>0</v>
      </c>
      <c r="L27" s="89">
        <f t="shared" si="17"/>
        <v>0</v>
      </c>
      <c r="M27" s="89">
        <f t="shared" si="17"/>
        <v>0</v>
      </c>
      <c r="N27" s="89" t="str">
        <f t="shared" si="17"/>
        <v xml:space="preserve"> </v>
      </c>
      <c r="O27" s="89" t="str">
        <f t="shared" si="17"/>
        <v xml:space="preserve"> </v>
      </c>
    </row>
    <row r="28" spans="1:29" ht="16.5" customHeight="1" thickBot="1" x14ac:dyDescent="0.35">
      <c r="A28" s="85" t="s">
        <v>46</v>
      </c>
      <c r="B28" s="68"/>
      <c r="C28" s="90" t="str">
        <f>IF(C24=" "," ",(C27*C24))</f>
        <v xml:space="preserve"> </v>
      </c>
      <c r="D28" s="90">
        <f t="shared" ref="D28:O28" si="18">IF(D24=" "," ",(D27*D24))</f>
        <v>630</v>
      </c>
      <c r="E28" s="90">
        <f t="shared" si="18"/>
        <v>0</v>
      </c>
      <c r="F28" s="90">
        <f t="shared" si="18"/>
        <v>0</v>
      </c>
      <c r="G28" s="90">
        <f t="shared" si="18"/>
        <v>0</v>
      </c>
      <c r="H28" s="90">
        <f t="shared" si="18"/>
        <v>0</v>
      </c>
      <c r="I28" s="90">
        <f t="shared" si="18"/>
        <v>0</v>
      </c>
      <c r="J28" s="90">
        <f t="shared" si="18"/>
        <v>0</v>
      </c>
      <c r="K28" s="90">
        <f t="shared" si="18"/>
        <v>0</v>
      </c>
      <c r="L28" s="90">
        <f t="shared" si="18"/>
        <v>0</v>
      </c>
      <c r="M28" s="90">
        <f t="shared" si="18"/>
        <v>0</v>
      </c>
      <c r="N28" s="90" t="str">
        <f t="shared" si="18"/>
        <v xml:space="preserve"> </v>
      </c>
      <c r="O28" s="90" t="str">
        <f t="shared" si="18"/>
        <v xml:space="preserve"> </v>
      </c>
      <c r="P28" s="2">
        <f>SUM(C28:O28)</f>
        <v>630</v>
      </c>
      <c r="Q28" s="91" t="s">
        <v>127</v>
      </c>
    </row>
    <row r="29" spans="1:29" ht="16.5" customHeight="1" x14ac:dyDescent="0.3">
      <c r="A29" s="87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92"/>
      <c r="Q29" s="42"/>
    </row>
    <row r="30" spans="1:29" x14ac:dyDescent="0.3">
      <c r="A30" s="6" t="s">
        <v>49</v>
      </c>
      <c r="B30" s="83"/>
      <c r="C30" s="84"/>
      <c r="H30" s="82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</row>
    <row r="31" spans="1:29" x14ac:dyDescent="0.3">
      <c r="A31" s="85" t="s">
        <v>42</v>
      </c>
      <c r="B31" s="85"/>
      <c r="C31" s="114">
        <f>C32+1</f>
        <v>1</v>
      </c>
      <c r="D31" s="114">
        <f t="shared" ref="D31" si="19">D32+1</f>
        <v>2</v>
      </c>
      <c r="E31" s="114">
        <f>D31+1</f>
        <v>3</v>
      </c>
      <c r="F31" s="114">
        <f t="shared" ref="F31:O31" si="20">E31+1</f>
        <v>4</v>
      </c>
      <c r="G31" s="114">
        <f t="shared" si="20"/>
        <v>5</v>
      </c>
      <c r="H31" s="114">
        <f t="shared" si="20"/>
        <v>6</v>
      </c>
      <c r="I31" s="114">
        <f t="shared" si="20"/>
        <v>7</v>
      </c>
      <c r="J31" s="114">
        <f t="shared" si="20"/>
        <v>8</v>
      </c>
      <c r="K31" s="114">
        <f t="shared" si="20"/>
        <v>9</v>
      </c>
      <c r="L31" s="114">
        <f t="shared" si="20"/>
        <v>10</v>
      </c>
      <c r="M31" s="114">
        <f t="shared" si="20"/>
        <v>11</v>
      </c>
      <c r="N31" s="114">
        <f t="shared" si="20"/>
        <v>12</v>
      </c>
      <c r="O31" s="114">
        <f t="shared" si="20"/>
        <v>13</v>
      </c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</row>
    <row r="32" spans="1:29" x14ac:dyDescent="0.3">
      <c r="A32" s="85" t="s">
        <v>43</v>
      </c>
      <c r="B32" s="85"/>
      <c r="C32" s="114">
        <v>0</v>
      </c>
      <c r="D32" s="114">
        <v>1</v>
      </c>
      <c r="E32" s="114">
        <f t="shared" ref="E32:P32" si="21">IF(PC&gt;D32, D32+1, " ")</f>
        <v>2</v>
      </c>
      <c r="F32" s="114">
        <f t="shared" si="21"/>
        <v>3</v>
      </c>
      <c r="G32" s="114">
        <f t="shared" si="21"/>
        <v>4</v>
      </c>
      <c r="H32" s="114">
        <f t="shared" si="21"/>
        <v>5</v>
      </c>
      <c r="I32" s="114">
        <f t="shared" si="21"/>
        <v>6</v>
      </c>
      <c r="J32" s="114">
        <f t="shared" si="21"/>
        <v>7</v>
      </c>
      <c r="K32" s="114">
        <f t="shared" si="21"/>
        <v>8</v>
      </c>
      <c r="L32" s="114">
        <f t="shared" si="21"/>
        <v>9</v>
      </c>
      <c r="M32" s="114">
        <f t="shared" si="21"/>
        <v>10</v>
      </c>
      <c r="N32" s="114" t="str">
        <f t="shared" si="21"/>
        <v xml:space="preserve"> </v>
      </c>
      <c r="O32" s="114" t="str">
        <f t="shared" si="21"/>
        <v xml:space="preserve"> </v>
      </c>
      <c r="P32" s="4" t="str">
        <f t="shared" si="21"/>
        <v xml:space="preserve"> </v>
      </c>
      <c r="AA32" s="58"/>
      <c r="AB32" s="58"/>
      <c r="AC32" s="58"/>
    </row>
    <row r="33" spans="1:30" x14ac:dyDescent="0.3">
      <c r="A33" s="85" t="s">
        <v>44</v>
      </c>
      <c r="B33" s="85"/>
      <c r="C33" s="86" t="str">
        <f t="shared" ref="C33:O33" si="22">IF(C32=" ", " ", (IF(C32&gt;=on, (1/(1+i)^(C32-on))," ")))</f>
        <v xml:space="preserve"> </v>
      </c>
      <c r="D33" s="86">
        <f t="shared" si="22"/>
        <v>1</v>
      </c>
      <c r="E33" s="86">
        <f t="shared" si="22"/>
        <v>0.95238095238095233</v>
      </c>
      <c r="F33" s="86">
        <f t="shared" si="22"/>
        <v>0.90702947845804982</v>
      </c>
      <c r="G33" s="86">
        <f t="shared" si="22"/>
        <v>0.86383759853147601</v>
      </c>
      <c r="H33" s="86">
        <f t="shared" si="22"/>
        <v>0.82270247479188197</v>
      </c>
      <c r="I33" s="86">
        <f t="shared" si="22"/>
        <v>0.78352616646845896</v>
      </c>
      <c r="J33" s="86">
        <f t="shared" si="22"/>
        <v>0.74621539663662761</v>
      </c>
      <c r="K33" s="86">
        <f t="shared" si="22"/>
        <v>0.71068133013012147</v>
      </c>
      <c r="L33" s="86">
        <f t="shared" si="22"/>
        <v>0.67683936202868722</v>
      </c>
      <c r="M33" s="86">
        <f t="shared" si="22"/>
        <v>0.64460891621779726</v>
      </c>
      <c r="N33" s="86" t="str">
        <f t="shared" si="22"/>
        <v xml:space="preserve"> </v>
      </c>
      <c r="O33" s="86" t="str">
        <f t="shared" si="22"/>
        <v xml:space="preserve"> </v>
      </c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</row>
    <row r="34" spans="1:30" x14ac:dyDescent="0.3">
      <c r="A34" s="87" t="s">
        <v>27</v>
      </c>
      <c r="B34" s="87"/>
      <c r="C34" s="88" t="str">
        <f t="shared" ref="C34:O34" si="23">IF(C33=" "," ",(IF(C32=on,-vc,0)))</f>
        <v xml:space="preserve"> </v>
      </c>
      <c r="D34" s="88">
        <f t="shared" si="23"/>
        <v>-450</v>
      </c>
      <c r="E34" s="88">
        <f t="shared" si="23"/>
        <v>0</v>
      </c>
      <c r="F34" s="88">
        <f t="shared" si="23"/>
        <v>0</v>
      </c>
      <c r="G34" s="88">
        <f t="shared" si="23"/>
        <v>0</v>
      </c>
      <c r="H34" s="88">
        <f t="shared" si="23"/>
        <v>0</v>
      </c>
      <c r="I34" s="88">
        <f t="shared" si="23"/>
        <v>0</v>
      </c>
      <c r="J34" s="88">
        <f t="shared" si="23"/>
        <v>0</v>
      </c>
      <c r="K34" s="88">
        <f t="shared" si="23"/>
        <v>0</v>
      </c>
      <c r="L34" s="88">
        <f t="shared" si="23"/>
        <v>0</v>
      </c>
      <c r="M34" s="88">
        <f t="shared" si="23"/>
        <v>0</v>
      </c>
      <c r="N34" s="88" t="str">
        <f t="shared" si="23"/>
        <v xml:space="preserve"> </v>
      </c>
      <c r="O34" s="88" t="str">
        <f t="shared" si="23"/>
        <v xml:space="preserve"> </v>
      </c>
    </row>
    <row r="35" spans="1:30" x14ac:dyDescent="0.3">
      <c r="A35" s="87" t="s">
        <v>28</v>
      </c>
      <c r="B35" s="87"/>
      <c r="C35" s="88" t="str">
        <f t="shared" ref="C35:O35" si="24">IF(PC&gt;B32,(IF(C34=-vc,0," "))," ")</f>
        <v xml:space="preserve"> </v>
      </c>
      <c r="D35" s="88">
        <f t="shared" si="24"/>
        <v>0</v>
      </c>
      <c r="E35" s="88" t="str">
        <f t="shared" si="24"/>
        <v xml:space="preserve"> </v>
      </c>
      <c r="F35" s="88" t="str">
        <f t="shared" si="24"/>
        <v xml:space="preserve"> </v>
      </c>
      <c r="G35" s="88" t="str">
        <f t="shared" si="24"/>
        <v xml:space="preserve"> </v>
      </c>
      <c r="H35" s="88" t="str">
        <f t="shared" si="24"/>
        <v xml:space="preserve"> </v>
      </c>
      <c r="I35" s="88" t="str">
        <f t="shared" si="24"/>
        <v xml:space="preserve"> </v>
      </c>
      <c r="J35" s="88" t="str">
        <f t="shared" si="24"/>
        <v xml:space="preserve"> </v>
      </c>
      <c r="K35" s="88" t="str">
        <f t="shared" si="24"/>
        <v xml:space="preserve"> </v>
      </c>
      <c r="L35" s="88" t="str">
        <f t="shared" si="24"/>
        <v xml:space="preserve"> </v>
      </c>
      <c r="M35" s="88" t="str">
        <f t="shared" si="24"/>
        <v xml:space="preserve"> </v>
      </c>
      <c r="N35" s="88" t="str">
        <f t="shared" si="24"/>
        <v xml:space="preserve"> </v>
      </c>
      <c r="O35" s="88" t="str">
        <f t="shared" si="24"/>
        <v xml:space="preserve"> </v>
      </c>
    </row>
    <row r="36" spans="1:30" ht="15" thickBot="1" x14ac:dyDescent="0.35">
      <c r="A36" s="87" t="s">
        <v>45</v>
      </c>
      <c r="C36" s="89" t="str">
        <f>IF(C33=" "," ",(SUM(C34:C35)))</f>
        <v xml:space="preserve"> </v>
      </c>
      <c r="D36" s="89">
        <f t="shared" ref="D36:O36" si="25">IF(D33=" "," ",(SUM(D34:D35)))</f>
        <v>-450</v>
      </c>
      <c r="E36" s="89">
        <f t="shared" si="25"/>
        <v>0</v>
      </c>
      <c r="F36" s="89">
        <f t="shared" si="25"/>
        <v>0</v>
      </c>
      <c r="G36" s="89">
        <f t="shared" si="25"/>
        <v>0</v>
      </c>
      <c r="H36" s="89">
        <f t="shared" si="25"/>
        <v>0</v>
      </c>
      <c r="I36" s="89">
        <f t="shared" si="25"/>
        <v>0</v>
      </c>
      <c r="J36" s="89">
        <f t="shared" si="25"/>
        <v>0</v>
      </c>
      <c r="K36" s="89">
        <f t="shared" si="25"/>
        <v>0</v>
      </c>
      <c r="L36" s="89">
        <f t="shared" si="25"/>
        <v>0</v>
      </c>
      <c r="M36" s="89">
        <f t="shared" si="25"/>
        <v>0</v>
      </c>
      <c r="N36" s="89" t="str">
        <f t="shared" si="25"/>
        <v xml:space="preserve"> </v>
      </c>
      <c r="O36" s="89" t="str">
        <f t="shared" si="25"/>
        <v xml:space="preserve"> </v>
      </c>
    </row>
    <row r="37" spans="1:30" ht="16.5" customHeight="1" thickBot="1" x14ac:dyDescent="0.35">
      <c r="A37" s="85" t="s">
        <v>46</v>
      </c>
      <c r="B37" s="68"/>
      <c r="C37" s="90" t="str">
        <f>IF(C33=" "," ",(C36*C33))</f>
        <v xml:space="preserve"> </v>
      </c>
      <c r="D37" s="90">
        <f t="shared" ref="D37:O37" si="26">IF(D33=" "," ",(D36*D33))</f>
        <v>-450</v>
      </c>
      <c r="E37" s="90">
        <f t="shared" si="26"/>
        <v>0</v>
      </c>
      <c r="F37" s="90">
        <f t="shared" si="26"/>
        <v>0</v>
      </c>
      <c r="G37" s="90">
        <f t="shared" si="26"/>
        <v>0</v>
      </c>
      <c r="H37" s="90">
        <f t="shared" si="26"/>
        <v>0</v>
      </c>
      <c r="I37" s="90">
        <f t="shared" si="26"/>
        <v>0</v>
      </c>
      <c r="J37" s="90">
        <f t="shared" si="26"/>
        <v>0</v>
      </c>
      <c r="K37" s="90">
        <f t="shared" si="26"/>
        <v>0</v>
      </c>
      <c r="L37" s="90">
        <f t="shared" si="26"/>
        <v>0</v>
      </c>
      <c r="M37" s="90">
        <f t="shared" si="26"/>
        <v>0</v>
      </c>
      <c r="N37" s="90" t="str">
        <f t="shared" si="26"/>
        <v xml:space="preserve"> </v>
      </c>
      <c r="O37" s="90" t="str">
        <f t="shared" si="26"/>
        <v xml:space="preserve"> </v>
      </c>
      <c r="P37" s="2">
        <f>SUM(C37:O37)</f>
        <v>-450</v>
      </c>
      <c r="Q37" s="91" t="s">
        <v>126</v>
      </c>
    </row>
    <row r="38" spans="1:30" x14ac:dyDescent="0.3">
      <c r="A38" s="87"/>
      <c r="B38" s="87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</row>
    <row r="39" spans="1:30" s="68" customFormat="1" x14ac:dyDescent="0.3">
      <c r="A39" s="94" t="s">
        <v>60</v>
      </c>
      <c r="B39" s="95"/>
      <c r="C39" s="96"/>
      <c r="D39" s="97"/>
      <c r="E39" s="97"/>
      <c r="F39" s="97"/>
      <c r="G39" s="97"/>
      <c r="H39" s="95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9"/>
    </row>
    <row r="40" spans="1:30" x14ac:dyDescent="0.3">
      <c r="A40" s="100" t="s">
        <v>50</v>
      </c>
      <c r="B40" s="100"/>
      <c r="C40" s="115">
        <f>C41+1</f>
        <v>1</v>
      </c>
      <c r="D40" s="115">
        <f t="shared" ref="D40:AB40" si="27">IF(rn=D41, 2, C40+1)</f>
        <v>2</v>
      </c>
      <c r="E40" s="115">
        <f t="shared" si="27"/>
        <v>2</v>
      </c>
      <c r="F40" s="115">
        <f t="shared" si="27"/>
        <v>3</v>
      </c>
      <c r="G40" s="115">
        <f t="shared" si="27"/>
        <v>4</v>
      </c>
      <c r="H40" s="115">
        <f t="shared" si="27"/>
        <v>5</v>
      </c>
      <c r="I40" s="115">
        <f t="shared" si="27"/>
        <v>6</v>
      </c>
      <c r="J40" s="115">
        <f t="shared" si="27"/>
        <v>7</v>
      </c>
      <c r="K40" s="115">
        <f t="shared" si="27"/>
        <v>8</v>
      </c>
      <c r="L40" s="115">
        <f t="shared" si="27"/>
        <v>9</v>
      </c>
      <c r="M40" s="115">
        <f t="shared" si="27"/>
        <v>10</v>
      </c>
      <c r="N40" s="115">
        <f t="shared" si="27"/>
        <v>11</v>
      </c>
      <c r="O40" s="115">
        <f t="shared" si="27"/>
        <v>12</v>
      </c>
      <c r="P40" s="115">
        <f t="shared" si="27"/>
        <v>13</v>
      </c>
      <c r="Q40" s="115">
        <f t="shared" si="27"/>
        <v>14</v>
      </c>
      <c r="R40" s="115">
        <f t="shared" si="27"/>
        <v>15</v>
      </c>
      <c r="S40" s="115">
        <f t="shared" si="27"/>
        <v>16</v>
      </c>
      <c r="T40" s="115">
        <f t="shared" si="27"/>
        <v>17</v>
      </c>
      <c r="U40" s="115">
        <f t="shared" si="27"/>
        <v>18</v>
      </c>
      <c r="V40" s="115">
        <f t="shared" si="27"/>
        <v>19</v>
      </c>
      <c r="W40" s="115">
        <f t="shared" si="27"/>
        <v>20</v>
      </c>
      <c r="X40" s="115">
        <f t="shared" si="27"/>
        <v>21</v>
      </c>
      <c r="Y40" s="115">
        <f t="shared" si="27"/>
        <v>22</v>
      </c>
      <c r="Z40" s="115">
        <f t="shared" si="27"/>
        <v>23</v>
      </c>
      <c r="AA40" s="115">
        <f t="shared" si="27"/>
        <v>24</v>
      </c>
      <c r="AB40" s="115">
        <f t="shared" si="27"/>
        <v>25</v>
      </c>
      <c r="AC40" s="58"/>
    </row>
    <row r="41" spans="1:30" x14ac:dyDescent="0.3">
      <c r="A41" s="101" t="s">
        <v>43</v>
      </c>
      <c r="B41" s="101"/>
      <c r="C41" s="116">
        <v>0</v>
      </c>
      <c r="D41" s="116">
        <f t="shared" ref="D41:AB41" si="28">IF(C41=(PC+rn)," ",(IF(C41=" "," ",C41+1)))</f>
        <v>1</v>
      </c>
      <c r="E41" s="116">
        <f t="shared" si="28"/>
        <v>2</v>
      </c>
      <c r="F41" s="116">
        <f t="shared" si="28"/>
        <v>3</v>
      </c>
      <c r="G41" s="116">
        <f t="shared" si="28"/>
        <v>4</v>
      </c>
      <c r="H41" s="116">
        <f t="shared" si="28"/>
        <v>5</v>
      </c>
      <c r="I41" s="116">
        <f t="shared" si="28"/>
        <v>6</v>
      </c>
      <c r="J41" s="116">
        <f t="shared" si="28"/>
        <v>7</v>
      </c>
      <c r="K41" s="116">
        <f t="shared" si="28"/>
        <v>8</v>
      </c>
      <c r="L41" s="116">
        <f t="shared" si="28"/>
        <v>9</v>
      </c>
      <c r="M41" s="116">
        <f t="shared" si="28"/>
        <v>10</v>
      </c>
      <c r="N41" s="116">
        <f t="shared" si="28"/>
        <v>11</v>
      </c>
      <c r="O41" s="116">
        <f t="shared" si="28"/>
        <v>12</v>
      </c>
      <c r="P41" s="116" t="str">
        <f t="shared" si="28"/>
        <v xml:space="preserve"> </v>
      </c>
      <c r="Q41" s="116" t="str">
        <f t="shared" si="28"/>
        <v xml:space="preserve"> </v>
      </c>
      <c r="R41" s="116" t="str">
        <f t="shared" si="28"/>
        <v xml:space="preserve"> </v>
      </c>
      <c r="S41" s="116" t="str">
        <f t="shared" si="28"/>
        <v xml:space="preserve"> </v>
      </c>
      <c r="T41" s="116" t="str">
        <f t="shared" si="28"/>
        <v xml:space="preserve"> </v>
      </c>
      <c r="U41" s="116" t="str">
        <f t="shared" si="28"/>
        <v xml:space="preserve"> </v>
      </c>
      <c r="V41" s="116" t="str">
        <f t="shared" si="28"/>
        <v xml:space="preserve"> </v>
      </c>
      <c r="W41" s="116" t="str">
        <f t="shared" si="28"/>
        <v xml:space="preserve"> </v>
      </c>
      <c r="X41" s="116" t="str">
        <f t="shared" si="28"/>
        <v xml:space="preserve"> </v>
      </c>
      <c r="Y41" s="116" t="str">
        <f t="shared" si="28"/>
        <v xml:space="preserve"> </v>
      </c>
      <c r="Z41" s="116" t="str">
        <f t="shared" si="28"/>
        <v xml:space="preserve"> </v>
      </c>
      <c r="AA41" s="116" t="str">
        <f t="shared" si="28"/>
        <v xml:space="preserve"> </v>
      </c>
      <c r="AB41" s="116" t="str">
        <f t="shared" si="28"/>
        <v xml:space="preserve"> </v>
      </c>
      <c r="AC41" s="4" t="str">
        <f>IF(AB41=(PC+3)," ",(IF(AB41=" "," ",AB41+1)))</f>
        <v xml:space="preserve"> </v>
      </c>
    </row>
    <row r="42" spans="1:30" x14ac:dyDescent="0.3">
      <c r="A42" s="101" t="s">
        <v>44</v>
      </c>
      <c r="B42" s="101"/>
      <c r="C42" s="102" t="str">
        <f>IF(C41=" ", " ",(IF(Age&lt;'NPV Scenario 1'!C40, " ", (IF(C41&gt;=rn, 1/(1+i)^(C41-rn)," ")))))</f>
        <v xml:space="preserve"> </v>
      </c>
      <c r="D42" s="102" t="str">
        <f>IF(D41=" ", " ",(IF(Age&lt;'NPV Scenario 1'!D40, " ", (IF(D41&gt;=rn, 1/(1+i)^(D41-rn)," ")))))</f>
        <v xml:space="preserve"> </v>
      </c>
      <c r="E42" s="102">
        <f>IF(E41=" ", " ",(IF(Age&lt;'NPV Scenario 1'!E40, " ", (IF(E41&gt;=rn, 1/(1+i)^(E41-rn)," ")))))</f>
        <v>1</v>
      </c>
      <c r="F42" s="102">
        <f>IF(F41=" ", " ",(IF(Age&lt;'NPV Scenario 1'!F40, " ", (IF(F41&gt;=rn, 1/(1+i)^(F41-rn)," ")))))</f>
        <v>0.95238095238095233</v>
      </c>
      <c r="G42" s="102">
        <f>IF(G41=" ", " ",(IF(Age&lt;'NPV Scenario 1'!G40, " ", (IF(G41&gt;=rn, 1/(1+i)^(G41-rn)," ")))))</f>
        <v>0.90702947845804982</v>
      </c>
      <c r="H42" s="102">
        <f>IF(H41=" ", " ",(IF(Age&lt;'NPV Scenario 1'!H40, " ", (IF(H41&gt;=rn, 1/(1+i)^(H41-rn)," ")))))</f>
        <v>0.86383759853147601</v>
      </c>
      <c r="I42" s="102">
        <f>IF(I41=" ", " ",(IF(Age&lt;'NPV Scenario 1'!I40, " ", (IF(I41&gt;=rn, 1/(1+i)^(I41-rn)," ")))))</f>
        <v>0.82270247479188197</v>
      </c>
      <c r="J42" s="102">
        <f>IF(J41=" ", " ",(IF(Age&lt;'NPV Scenario 1'!J40, " ", (IF(J41&gt;=rn, 1/(1+i)^(J41-rn)," ")))))</f>
        <v>0.78352616646845896</v>
      </c>
      <c r="K42" s="102">
        <f>IF(K41=" ", " ",(IF(Age&lt;'NPV Scenario 1'!K40, " ", (IF(K41&gt;=rn, 1/(1+i)^(K41-rn)," ")))))</f>
        <v>0.74621539663662761</v>
      </c>
      <c r="L42" s="102">
        <f>IF(L41=" ", " ",(IF(Age&lt;'NPV Scenario 1'!L40, " ", (IF(L41&gt;=rn, 1/(1+i)^(L41-rn)," ")))))</f>
        <v>0.71068133013012147</v>
      </c>
      <c r="M42" s="102">
        <f>IF(M41=" ", " ",(IF(Age&lt;'NPV Scenario 1'!M40, " ", (IF(M41&gt;=rn, 1/(1+i)^(M41-rn)," ")))))</f>
        <v>0.67683936202868722</v>
      </c>
      <c r="N42" s="102">
        <f>IF(N41=" ", " ",(IF(Age&lt;'NPV Scenario 1'!N40, " ", (IF(N41&gt;=rn, 1/(1+i)^(N41-rn)," ")))))</f>
        <v>0.64460891621779726</v>
      </c>
      <c r="O42" s="102" t="str">
        <f>IF(O41=" ", " ",(IF(Age&lt;'NPV Scenario 1'!O40, " ", (IF(O41&gt;=rn, 1/(1+i)^(O41-rn)," ")))))</f>
        <v xml:space="preserve"> </v>
      </c>
      <c r="P42" s="102" t="str">
        <f>IF(P41=" ", " ",(IF(Age&lt;'NPV Scenario 1'!P40, " ", (IF(P41&gt;=rn, 1/(1+i)^(P41-rn)," ")))))</f>
        <v xml:space="preserve"> </v>
      </c>
      <c r="Q42" s="102" t="str">
        <f>IF(Q41=" ", " ",(IF(Age&lt;'NPV Scenario 1'!Q40, " ", (IF(Q41&gt;=rn, 1/(1+i)^(Q41-rn)," ")))))</f>
        <v xml:space="preserve"> </v>
      </c>
      <c r="R42" s="102" t="str">
        <f>IF(R41=" ", " ",(IF(Age&lt;'NPV Scenario 1'!R40, " ", (IF(R41&gt;=rn, 1/(1+i)^(R41-rn)," ")))))</f>
        <v xml:space="preserve"> </v>
      </c>
      <c r="S42" s="102" t="str">
        <f>IF(S41=" ", " ",(IF(Age&lt;'NPV Scenario 1'!S40, " ", (IF(S41&gt;=rn, 1/(1+i)^(S41-rn)," ")))))</f>
        <v xml:space="preserve"> </v>
      </c>
      <c r="T42" s="102" t="str">
        <f>IF(T41=" ", " ",(IF(Age&lt;'NPV Scenario 1'!T40, " ", (IF(T41&gt;=rn, 1/(1+i)^(T41-rn)," ")))))</f>
        <v xml:space="preserve"> </v>
      </c>
      <c r="U42" s="102" t="str">
        <f>IF(U41=" ", " ",(IF(Age&lt;'NPV Scenario 1'!U40, " ", (IF(U41&gt;=rn, 1/(1+i)^(U41-rn)," ")))))</f>
        <v xml:space="preserve"> </v>
      </c>
      <c r="V42" s="102" t="str">
        <f>IF(V41=" ", " ",(IF(Age&lt;'NPV Scenario 1'!V40, " ", (IF(V41&gt;=rn, 1/(1+i)^(V41-rn)," ")))))</f>
        <v xml:space="preserve"> </v>
      </c>
      <c r="W42" s="102" t="str">
        <f>IF(W41=" ", " ",(IF(Age&lt;'NPV Scenario 1'!W40, " ", (IF(W41&gt;=rn, 1/(1+i)^(W41-rn)," ")))))</f>
        <v xml:space="preserve"> </v>
      </c>
      <c r="X42" s="102" t="str">
        <f>IF(X41=" ", " ",(IF(Age&lt;'NPV Scenario 1'!X40, " ", (IF(X41&gt;=rn, 1/(1+i)^(X41-rn)," ")))))</f>
        <v xml:space="preserve"> </v>
      </c>
      <c r="Y42" s="102" t="str">
        <f>IF(Y41=" ", " ",(IF(Age&lt;'NPV Scenario 1'!Y40, " ", (IF(Y41&gt;=rn, 1/(1+i)^(Y41-rn)," ")))))</f>
        <v xml:space="preserve"> </v>
      </c>
      <c r="Z42" s="102" t="str">
        <f>IF(Z41=" ", " ",(IF(Age&lt;'NPV Scenario 1'!Z40, " ", (IF(Z41&gt;=rn, 1/(1+i)^(Z41-rn)," ")))))</f>
        <v xml:space="preserve"> </v>
      </c>
      <c r="AA42" s="102" t="str">
        <f>IF(AA41=" ", " ",(IF(Age&lt;'NPV Scenario 1'!AA40, " ", (IF(AA41&gt;=rn, 1/(1+i)^(AA41-rn)," ")))))</f>
        <v xml:space="preserve"> </v>
      </c>
      <c r="AB42" s="102" t="str">
        <f>IF(AB41=" ", " ",(IF(Age&lt;'NPV Scenario 1'!AB40, " ", (IF(AB41&gt;=rn, 1/(1+i)^(AB41-rn)," ")))))</f>
        <v xml:space="preserve"> </v>
      </c>
      <c r="AC42" s="58"/>
    </row>
    <row r="43" spans="1:30" x14ac:dyDescent="0.3">
      <c r="A43" s="103" t="s">
        <v>27</v>
      </c>
      <c r="B43" s="103"/>
      <c r="C43" s="104"/>
      <c r="D43" s="105"/>
      <c r="E43" s="105" cm="1">
        <f t="array" ref="E43">IF(E42=" "," ",((('Variable Inputs'!$C$27-(VLOOKUP(E40, 'Probabilities &amp; Price Slide'!$B$20:$E$29,4, FALSE)))*(_xlfn.IFS(E40=2, ('Variable Inputs'!$C$28+(VLOOKUP('Variable Inputs'!$C$27,'Probabilities &amp; Price Slide'!$P$33:$T$370,3,TRUE))), E40=3, ('Variable Inputs'!$C$28+(VLOOKUP('Variable Inputs'!$C$27,'Probabilities &amp; Price Slide'!$P$33:$T$370,3,TRUE))), E40=4, ('Variable Inputs'!$C$28+(VLOOKUP('Variable Inputs'!$C$27,'Probabilities &amp; Price Slide'!$P$33:$T$370,3,TRUE))), E40=11, ('Variable Inputs'!$C$28+(VLOOKUP('Variable Inputs'!$C$27,'Probabilities &amp; Price Slide'!$P$33:$T$370,3,TRUE))), E40=5, 'Variable Inputs'!$C$28, E40=6, 'Variable Inputs'!$C$28, E40=7, 'Variable Inputs'!$C$28, E40=8, 'Variable Inputs'!$C$28, E40=9, 'Variable Inputs'!$C$28, E40=10, 'Variable Inputs'!$C$28)))-vc))</f>
        <v>489.28421960738888</v>
      </c>
      <c r="F43" s="105" cm="1">
        <f t="array" ref="F43">IF(F42=" "," ",((('Variable Inputs'!$C$27-(VLOOKUP(F40, 'Probabilities &amp; Price Slide'!$B$20:$E$29,4, FALSE)))*(_xlfn.IFS(F40=2, ('Variable Inputs'!$C$28+(VLOOKUP('Variable Inputs'!$C$27,'Probabilities &amp; Price Slide'!$P$33:$T$370,3,TRUE))), F40=3, ('Variable Inputs'!$C$28+(VLOOKUP('Variable Inputs'!$C$27,'Probabilities &amp; Price Slide'!$P$33:$T$370,3,TRUE))), F40=4, ('Variable Inputs'!$C$28+(VLOOKUP('Variable Inputs'!$C$27,'Probabilities &amp; Price Slide'!$P$33:$T$370,3,TRUE))), F40=11, ('Variable Inputs'!$C$28+(VLOOKUP('Variable Inputs'!$C$27,'Probabilities &amp; Price Slide'!$P$33:$T$370,3,TRUE))), F40=5, 'Variable Inputs'!$C$28, F40=6, 'Variable Inputs'!$C$28, F40=7, 'Variable Inputs'!$C$28, F40=8, 'Variable Inputs'!$C$28, F40=9, 'Variable Inputs'!$C$28, F40=10, 'Variable Inputs'!$C$28)))-vc))</f>
        <v>525.61637972684446</v>
      </c>
      <c r="G43" s="105" cm="1">
        <f t="array" ref="G43">IF(G42=" "," ",((('Variable Inputs'!$C$27-(VLOOKUP(G40, 'Probabilities &amp; Price Slide'!$B$20:$E$29,4, FALSE)))*(_xlfn.IFS(G40=2, ('Variable Inputs'!$C$28+(VLOOKUP('Variable Inputs'!$C$27,'Probabilities &amp; Price Slide'!$P$33:$T$370,3,TRUE))), G40=3, ('Variable Inputs'!$C$28+(VLOOKUP('Variable Inputs'!$C$27,'Probabilities &amp; Price Slide'!$P$33:$T$370,3,TRUE))), G40=4, ('Variable Inputs'!$C$28+(VLOOKUP('Variable Inputs'!$C$27,'Probabilities &amp; Price Slide'!$P$33:$T$370,3,TRUE))), G40=11, ('Variable Inputs'!$C$28+(VLOOKUP('Variable Inputs'!$C$27,'Probabilities &amp; Price Slide'!$P$33:$T$370,3,TRUE))), G40=5, 'Variable Inputs'!$C$28, G40=6, 'Variable Inputs'!$C$28, G40=7, 'Variable Inputs'!$C$28, G40=8, 'Variable Inputs'!$C$28, G40=9, 'Variable Inputs'!$C$28, G40=10, 'Variable Inputs'!$C$28)))-vc))</f>
        <v>561.52851487382088</v>
      </c>
      <c r="H43" s="105" cm="1">
        <f t="array" ref="H43">IF(H42=" "," ",((('Variable Inputs'!$C$27-(VLOOKUP(H40, 'Probabilities &amp; Price Slide'!$B$20:$E$29,4, FALSE)))*(_xlfn.IFS(H40=2, ('Variable Inputs'!$C$28+(VLOOKUP('Variable Inputs'!$C$27,'Probabilities &amp; Price Slide'!$P$33:$T$370,3,TRUE))), H40=3, ('Variable Inputs'!$C$28+(VLOOKUP('Variable Inputs'!$C$27,'Probabilities &amp; Price Slide'!$P$33:$T$370,3,TRUE))), H40=4, ('Variable Inputs'!$C$28+(VLOOKUP('Variable Inputs'!$C$27,'Probabilities &amp; Price Slide'!$P$33:$T$370,3,TRUE))), H40=11, ('Variable Inputs'!$C$28+(VLOOKUP('Variable Inputs'!$C$27,'Probabilities &amp; Price Slide'!$P$33:$T$370,3,TRUE))), H40=5, 'Variable Inputs'!$C$28, H40=6, 'Variable Inputs'!$C$28, H40=7, 'Variable Inputs'!$C$28, H40=8, 'Variable Inputs'!$C$28, H40=9, 'Variable Inputs'!$C$28, H40=10, 'Variable Inputs'!$C$28)))-vc))</f>
        <v>650</v>
      </c>
      <c r="I43" s="105" cm="1">
        <f t="array" ref="I43">IF(I42=" "," ",((('Variable Inputs'!$C$27-(VLOOKUP(I40, 'Probabilities &amp; Price Slide'!$B$20:$E$29,4, FALSE)))*(_xlfn.IFS(I40=2, ('Variable Inputs'!$C$28+(VLOOKUP('Variable Inputs'!$C$27,'Probabilities &amp; Price Slide'!$P$33:$T$370,3,TRUE))), I40=3, ('Variable Inputs'!$C$28+(VLOOKUP('Variable Inputs'!$C$27,'Probabilities &amp; Price Slide'!$P$33:$T$370,3,TRUE))), I40=4, ('Variable Inputs'!$C$28+(VLOOKUP('Variable Inputs'!$C$27,'Probabilities &amp; Price Slide'!$P$33:$T$370,3,TRUE))), I40=11, ('Variable Inputs'!$C$28+(VLOOKUP('Variable Inputs'!$C$27,'Probabilities &amp; Price Slide'!$P$33:$T$370,3,TRUE))), I40=5, 'Variable Inputs'!$C$28, I40=6, 'Variable Inputs'!$C$28, I40=7, 'Variable Inputs'!$C$28, I40=8, 'Variable Inputs'!$C$28, I40=9, 'Variable Inputs'!$C$28, I40=10, 'Variable Inputs'!$C$28)))-vc))</f>
        <v>650</v>
      </c>
      <c r="J43" s="105" cm="1">
        <f t="array" ref="J43">IF(J42=" "," ",((('Variable Inputs'!$C$27-(VLOOKUP(J40, 'Probabilities &amp; Price Slide'!$B$20:$E$29,4, FALSE)))*(_xlfn.IFS(J40=2, ('Variable Inputs'!$C$28+(VLOOKUP('Variable Inputs'!$C$27,'Probabilities &amp; Price Slide'!$P$33:$T$370,3,TRUE))), J40=3, ('Variable Inputs'!$C$28+(VLOOKUP('Variable Inputs'!$C$27,'Probabilities &amp; Price Slide'!$P$33:$T$370,3,TRUE))), J40=4, ('Variable Inputs'!$C$28+(VLOOKUP('Variable Inputs'!$C$27,'Probabilities &amp; Price Slide'!$P$33:$T$370,3,TRUE))), J40=11, ('Variable Inputs'!$C$28+(VLOOKUP('Variable Inputs'!$C$27,'Probabilities &amp; Price Slide'!$P$33:$T$370,3,TRUE))), J40=5, 'Variable Inputs'!$C$28, J40=6, 'Variable Inputs'!$C$28, J40=7, 'Variable Inputs'!$C$28, J40=8, 'Variable Inputs'!$C$28, J40=9, 'Variable Inputs'!$C$28, J40=10, 'Variable Inputs'!$C$28)))-vc))</f>
        <v>650</v>
      </c>
      <c r="K43" s="105" cm="1">
        <f t="array" ref="K43">IF(K42=" "," ",((('Variable Inputs'!$C$27-(VLOOKUP(K40, 'Probabilities &amp; Price Slide'!$B$20:$E$29,4, FALSE)))*(_xlfn.IFS(K40=2, ('Variable Inputs'!$C$28+(VLOOKUP('Variable Inputs'!$C$27,'Probabilities &amp; Price Slide'!$P$33:$T$370,3,TRUE))), K40=3, ('Variable Inputs'!$C$28+(VLOOKUP('Variable Inputs'!$C$27,'Probabilities &amp; Price Slide'!$P$33:$T$370,3,TRUE))), K40=4, ('Variable Inputs'!$C$28+(VLOOKUP('Variable Inputs'!$C$27,'Probabilities &amp; Price Slide'!$P$33:$T$370,3,TRUE))), K40=11, ('Variable Inputs'!$C$28+(VLOOKUP('Variable Inputs'!$C$27,'Probabilities &amp; Price Slide'!$P$33:$T$370,3,TRUE))), K40=5, 'Variable Inputs'!$C$28, K40=6, 'Variable Inputs'!$C$28, K40=7, 'Variable Inputs'!$C$28, K40=8, 'Variable Inputs'!$C$28, K40=9, 'Variable Inputs'!$C$28, K40=10, 'Variable Inputs'!$C$28)))-vc))</f>
        <v>650</v>
      </c>
      <c r="L43" s="105" cm="1">
        <f t="array" ref="L43">IF(L42=" "," ",((('Variable Inputs'!$C$27-(VLOOKUP(L40, 'Probabilities &amp; Price Slide'!$B$20:$E$29,4, FALSE)))*(_xlfn.IFS(L40=2, ('Variable Inputs'!$C$28+(VLOOKUP('Variable Inputs'!$C$27,'Probabilities &amp; Price Slide'!$P$33:$T$370,3,TRUE))), L40=3, ('Variable Inputs'!$C$28+(VLOOKUP('Variable Inputs'!$C$27,'Probabilities &amp; Price Slide'!$P$33:$T$370,3,TRUE))), L40=4, ('Variable Inputs'!$C$28+(VLOOKUP('Variable Inputs'!$C$27,'Probabilities &amp; Price Slide'!$P$33:$T$370,3,TRUE))), L40=11, ('Variable Inputs'!$C$28+(VLOOKUP('Variable Inputs'!$C$27,'Probabilities &amp; Price Slide'!$P$33:$T$370,3,TRUE))), L40=5, 'Variable Inputs'!$C$28, L40=6, 'Variable Inputs'!$C$28, L40=7, 'Variable Inputs'!$C$28, L40=8, 'Variable Inputs'!$C$28, L40=9, 'Variable Inputs'!$C$28, L40=10, 'Variable Inputs'!$C$28)))-vc))</f>
        <v>650</v>
      </c>
      <c r="M43" s="105" cm="1">
        <f t="array" ref="M43">IF(M42=" "," ",((('Variable Inputs'!$C$27-(VLOOKUP(M40, 'Probabilities &amp; Price Slide'!$B$20:$E$29,4, FALSE)))*(_xlfn.IFS(M40=2, ('Variable Inputs'!$C$28+(VLOOKUP('Variable Inputs'!$C$27,'Probabilities &amp; Price Slide'!$P$33:$T$370,3,TRUE))), M40=3, ('Variable Inputs'!$C$28+(VLOOKUP('Variable Inputs'!$C$27,'Probabilities &amp; Price Slide'!$P$33:$T$370,3,TRUE))), M40=4, ('Variable Inputs'!$C$28+(VLOOKUP('Variable Inputs'!$C$27,'Probabilities &amp; Price Slide'!$P$33:$T$370,3,TRUE))), M40=11, ('Variable Inputs'!$C$28+(VLOOKUP('Variable Inputs'!$C$27,'Probabilities &amp; Price Slide'!$P$33:$T$370,3,TRUE))), M40=5, 'Variable Inputs'!$C$28, M40=6, 'Variable Inputs'!$C$28, M40=7, 'Variable Inputs'!$C$28, M40=8, 'Variable Inputs'!$C$28, M40=9, 'Variable Inputs'!$C$28, M40=10, 'Variable Inputs'!$C$28)))-vc))</f>
        <v>650</v>
      </c>
      <c r="N43" s="105" cm="1">
        <f t="array" ref="N43">IF(N42=" "," ",((('Variable Inputs'!$C$27-(VLOOKUP(N40, 'Probabilities &amp; Price Slide'!$B$20:$E$29,4, FALSE)))*(_xlfn.IFS(N40=2, ('Variable Inputs'!$C$28+(VLOOKUP('Variable Inputs'!$C$27,'Probabilities &amp; Price Slide'!$P$33:$T$370,3,TRUE))), N40=3, ('Variable Inputs'!$C$28+(VLOOKUP('Variable Inputs'!$C$27,'Probabilities &amp; Price Slide'!$P$33:$T$370,3,TRUE))), N40=4, ('Variable Inputs'!$C$28+(VLOOKUP('Variable Inputs'!$C$27,'Probabilities &amp; Price Slide'!$P$33:$T$370,3,TRUE))), N40=11, ('Variable Inputs'!$C$28+(VLOOKUP('Variable Inputs'!$C$27,'Probabilities &amp; Price Slide'!$P$33:$T$370,3,TRUE))), N40=5, 'Variable Inputs'!$C$28, N40=6, 'Variable Inputs'!$C$28, N40=7, 'Variable Inputs'!$C$28, N40=8, 'Variable Inputs'!$C$28, N40=9, 'Variable Inputs'!$C$28, N40=10, 'Variable Inputs'!$C$28)))-vc))</f>
        <v>561.52851487382088</v>
      </c>
      <c r="O43" s="105" t="str" cm="1">
        <f t="array" ref="O43">IF(O42=" "," ",((('Variable Inputs'!$C$27-(VLOOKUP(O40, 'Probabilities &amp; Price Slide'!$B$20:$E$29,4, FALSE)))*(_xlfn.IFS(O40=2, ('Variable Inputs'!$C$28+(VLOOKUP('Variable Inputs'!$C$27,'Probabilities &amp; Price Slide'!$P$33:$T$370,3,TRUE))), O40=3, ('Variable Inputs'!$C$28+(VLOOKUP('Variable Inputs'!$C$27,'Probabilities &amp; Price Slide'!$P$33:$T$370,3,TRUE))), O40=4, ('Variable Inputs'!$C$28+(VLOOKUP('Variable Inputs'!$C$27,'Probabilities &amp; Price Slide'!$P$33:$T$370,3,TRUE))), O40=11, ('Variable Inputs'!$C$28+(VLOOKUP('Variable Inputs'!$C$27,'Probabilities &amp; Price Slide'!$P$33:$T$370,3,TRUE))), O40=5, 'Variable Inputs'!$C$28, O40=6, 'Variable Inputs'!$C$28, O40=7, 'Variable Inputs'!$C$28, O40=8, 'Variable Inputs'!$C$28, O40=9, 'Variable Inputs'!$C$28, O40=10, 'Variable Inputs'!$C$28)))-vc))</f>
        <v xml:space="preserve"> </v>
      </c>
      <c r="P43" s="105" t="str" cm="1">
        <f t="array" ref="P43">IF(P42=" "," ",((('Variable Inputs'!$C$27-(VLOOKUP(P40, 'Probabilities &amp; Price Slide'!$B$20:$E$29,4, FALSE)))*(_xlfn.IFS(P40=2, ('Variable Inputs'!$C$28+(VLOOKUP('Variable Inputs'!$C$27,'Probabilities &amp; Price Slide'!$P$33:$T$370,3,TRUE))), P40=3, ('Variable Inputs'!$C$28+(VLOOKUP('Variable Inputs'!$C$27,'Probabilities &amp; Price Slide'!$P$33:$T$370,3,TRUE))), P40=4, ('Variable Inputs'!$C$28+(VLOOKUP('Variable Inputs'!$C$27,'Probabilities &amp; Price Slide'!$P$33:$T$370,3,TRUE))), P40=11, ('Variable Inputs'!$C$28+(VLOOKUP('Variable Inputs'!$C$27,'Probabilities &amp; Price Slide'!$P$33:$T$370,3,TRUE))), P40=5, 'Variable Inputs'!$C$28, P40=6, 'Variable Inputs'!$C$28, P40=7, 'Variable Inputs'!$C$28, P40=8, 'Variable Inputs'!$C$28, P40=9, 'Variable Inputs'!$C$28, P40=10, 'Variable Inputs'!$C$28)))-vc))</f>
        <v xml:space="preserve"> </v>
      </c>
      <c r="Q43" s="105" t="str" cm="1">
        <f t="array" ref="Q43">IF(Q42=" "," ",((('Variable Inputs'!$C$27-(VLOOKUP(Q40, 'Probabilities &amp; Price Slide'!$B$20:$E$29,4, FALSE)))*(_xlfn.IFS(Q40=2, ('Variable Inputs'!$C$28+(VLOOKUP('Variable Inputs'!$C$27,'Probabilities &amp; Price Slide'!$P$33:$T$370,3,TRUE))), Q40=3, ('Variable Inputs'!$C$28+(VLOOKUP('Variable Inputs'!$C$27,'Probabilities &amp; Price Slide'!$P$33:$T$370,3,TRUE))), Q40=4, ('Variable Inputs'!$C$28+(VLOOKUP('Variable Inputs'!$C$27,'Probabilities &amp; Price Slide'!$P$33:$T$370,3,TRUE))), Q40=11, ('Variable Inputs'!$C$28+(VLOOKUP('Variable Inputs'!$C$27,'Probabilities &amp; Price Slide'!$P$33:$T$370,3,TRUE))), Q40=5, 'Variable Inputs'!$C$28, Q40=6, 'Variable Inputs'!$C$28, Q40=7, 'Variable Inputs'!$C$28, Q40=8, 'Variable Inputs'!$C$28, Q40=9, 'Variable Inputs'!$C$28, Q40=10, 'Variable Inputs'!$C$28)))-vc))</f>
        <v xml:space="preserve"> </v>
      </c>
      <c r="R43" s="105" t="str" cm="1">
        <f t="array" ref="R43">IF(R42=" "," ",((('Variable Inputs'!$C$27-(VLOOKUP(R40, 'Probabilities &amp; Price Slide'!$B$20:$E$29,4, FALSE)))*(_xlfn.IFS(R40=2, ('Variable Inputs'!$C$28+(VLOOKUP('Variable Inputs'!$C$27,'Probabilities &amp; Price Slide'!$P$33:$T$370,3,TRUE))), R40=3, ('Variable Inputs'!$C$28+(VLOOKUP('Variable Inputs'!$C$27,'Probabilities &amp; Price Slide'!$P$33:$T$370,3,TRUE))), R40=4, ('Variable Inputs'!$C$28+(VLOOKUP('Variable Inputs'!$C$27,'Probabilities &amp; Price Slide'!$P$33:$T$370,3,TRUE))), R40=11, ('Variable Inputs'!$C$28+(VLOOKUP('Variable Inputs'!$C$27,'Probabilities &amp; Price Slide'!$P$33:$T$370,3,TRUE))), R40=5, 'Variable Inputs'!$C$28, R40=6, 'Variable Inputs'!$C$28, R40=7, 'Variable Inputs'!$C$28, R40=8, 'Variable Inputs'!$C$28, R40=9, 'Variable Inputs'!$C$28, R40=10, 'Variable Inputs'!$C$28)))-vc))</f>
        <v xml:space="preserve"> </v>
      </c>
      <c r="S43" s="105" t="str" cm="1">
        <f t="array" ref="S43">IF(S42=" "," ",((('Variable Inputs'!$C$27-(VLOOKUP(S40, 'Probabilities &amp; Price Slide'!$B$20:$E$29,4, FALSE)))*(_xlfn.IFS(S40=2, ('Variable Inputs'!$C$28+(VLOOKUP('Variable Inputs'!$C$27,'Probabilities &amp; Price Slide'!$P$33:$T$370,3,TRUE))), S40=3, ('Variable Inputs'!$C$28+(VLOOKUP('Variable Inputs'!$C$27,'Probabilities &amp; Price Slide'!$P$33:$T$370,3,TRUE))), S40=4, ('Variable Inputs'!$C$28+(VLOOKUP('Variable Inputs'!$C$27,'Probabilities &amp; Price Slide'!$P$33:$T$370,3,TRUE))), S40=11, ('Variable Inputs'!$C$28+(VLOOKUP('Variable Inputs'!$C$27,'Probabilities &amp; Price Slide'!$P$33:$T$370,3,TRUE))), S40=5, 'Variable Inputs'!$C$28, S40=6, 'Variable Inputs'!$C$28, S40=7, 'Variable Inputs'!$C$28, S40=8, 'Variable Inputs'!$C$28, S40=9, 'Variable Inputs'!$C$28, S40=10, 'Variable Inputs'!$C$28)))-vc))</f>
        <v xml:space="preserve"> </v>
      </c>
      <c r="T43" s="105" t="str" cm="1">
        <f t="array" ref="T43">IF(T42=" "," ",((('Variable Inputs'!$C$27-(VLOOKUP(T40, 'Probabilities &amp; Price Slide'!$B$20:$E$29,4, FALSE)))*(_xlfn.IFS(T40=2, ('Variable Inputs'!$C$28+(VLOOKUP('Variable Inputs'!$C$27,'Probabilities &amp; Price Slide'!$P$33:$T$370,3,TRUE))), T40=3, ('Variable Inputs'!$C$28+(VLOOKUP('Variable Inputs'!$C$27,'Probabilities &amp; Price Slide'!$P$33:$T$370,3,TRUE))), T40=4, ('Variable Inputs'!$C$28+(VLOOKUP('Variable Inputs'!$C$27,'Probabilities &amp; Price Slide'!$P$33:$T$370,3,TRUE))), T40=11, ('Variable Inputs'!$C$28+(VLOOKUP('Variable Inputs'!$C$27,'Probabilities &amp; Price Slide'!$P$33:$T$370,3,TRUE))), T40=5, 'Variable Inputs'!$C$28, T40=6, 'Variable Inputs'!$C$28, T40=7, 'Variable Inputs'!$C$28, T40=8, 'Variable Inputs'!$C$28, T40=9, 'Variable Inputs'!$C$28, T40=10, 'Variable Inputs'!$C$28)))-vc))</f>
        <v xml:space="preserve"> </v>
      </c>
      <c r="U43" s="105" t="str" cm="1">
        <f t="array" ref="U43">IF(U42=" "," ",((('Variable Inputs'!$C$27-(VLOOKUP(U40, 'Probabilities &amp; Price Slide'!$B$20:$E$29,4, FALSE)))*(_xlfn.IFS(U40=2, ('Variable Inputs'!$C$28+(VLOOKUP('Variable Inputs'!$C$27,'Probabilities &amp; Price Slide'!$P$33:$T$370,3,TRUE))), U40=3, ('Variable Inputs'!$C$28+(VLOOKUP('Variable Inputs'!$C$27,'Probabilities &amp; Price Slide'!$P$33:$T$370,3,TRUE))), U40=4, ('Variable Inputs'!$C$28+(VLOOKUP('Variable Inputs'!$C$27,'Probabilities &amp; Price Slide'!$P$33:$T$370,3,TRUE))), U40=11, ('Variable Inputs'!$C$28+(VLOOKUP('Variable Inputs'!$C$27,'Probabilities &amp; Price Slide'!$P$33:$T$370,3,TRUE))), U40=5, 'Variable Inputs'!$C$28, U40=6, 'Variable Inputs'!$C$28, U40=7, 'Variable Inputs'!$C$28, U40=8, 'Variable Inputs'!$C$28, U40=9, 'Variable Inputs'!$C$28, U40=10, 'Variable Inputs'!$C$28)))-vc))</f>
        <v xml:space="preserve"> </v>
      </c>
      <c r="V43" s="105" t="str" cm="1">
        <f t="array" ref="V43">IF(V42=" "," ",((('Variable Inputs'!$C$27-(VLOOKUP(V40, 'Probabilities &amp; Price Slide'!$B$20:$E$29,4, FALSE)))*(_xlfn.IFS(V40=2, ('Variable Inputs'!$C$28+(VLOOKUP('Variable Inputs'!$C$27,'Probabilities &amp; Price Slide'!$P$33:$T$370,3,TRUE))), V40=3, ('Variable Inputs'!$C$28+(VLOOKUP('Variable Inputs'!$C$27,'Probabilities &amp; Price Slide'!$P$33:$T$370,3,TRUE))), V40=4, ('Variable Inputs'!$C$28+(VLOOKUP('Variable Inputs'!$C$27,'Probabilities &amp; Price Slide'!$P$33:$T$370,3,TRUE))), V40=11, ('Variable Inputs'!$C$28+(VLOOKUP('Variable Inputs'!$C$27,'Probabilities &amp; Price Slide'!$P$33:$T$370,3,TRUE))), V40=5, 'Variable Inputs'!$C$28, V40=6, 'Variable Inputs'!$C$28, V40=7, 'Variable Inputs'!$C$28, V40=8, 'Variable Inputs'!$C$28, V40=9, 'Variable Inputs'!$C$28, V40=10, 'Variable Inputs'!$C$28)))-vc))</f>
        <v xml:space="preserve"> </v>
      </c>
      <c r="W43" s="105" t="str" cm="1">
        <f t="array" ref="W43">IF(W42=" "," ",((('Variable Inputs'!$C$27-(VLOOKUP(W40, 'Probabilities &amp; Price Slide'!$B$20:$E$29,4, FALSE)))*(_xlfn.IFS(W40=2, ('Variable Inputs'!$C$28+(VLOOKUP('Variable Inputs'!$C$27,'Probabilities &amp; Price Slide'!$P$33:$T$370,3,TRUE))), W40=3, ('Variable Inputs'!$C$28+(VLOOKUP('Variable Inputs'!$C$27,'Probabilities &amp; Price Slide'!$P$33:$T$370,3,TRUE))), W40=4, ('Variable Inputs'!$C$28+(VLOOKUP('Variable Inputs'!$C$27,'Probabilities &amp; Price Slide'!$P$33:$T$370,3,TRUE))), W40=11, ('Variable Inputs'!$C$28+(VLOOKUP('Variable Inputs'!$C$27,'Probabilities &amp; Price Slide'!$P$33:$T$370,3,TRUE))), W40=5, 'Variable Inputs'!$C$28, W40=6, 'Variable Inputs'!$C$28, W40=7, 'Variable Inputs'!$C$28, W40=8, 'Variable Inputs'!$C$28, W40=9, 'Variable Inputs'!$C$28, W40=10, 'Variable Inputs'!$C$28)))-vc))</f>
        <v xml:space="preserve"> </v>
      </c>
      <c r="X43" s="105" t="str" cm="1">
        <f t="array" ref="X43">IF(X42=" "," ",((('Variable Inputs'!$C$27-(VLOOKUP(X40, 'Probabilities &amp; Price Slide'!$B$20:$E$29,4, FALSE)))*(_xlfn.IFS(X40=2, ('Variable Inputs'!$C$28+(VLOOKUP('Variable Inputs'!$C$27,'Probabilities &amp; Price Slide'!$P$33:$T$370,3,TRUE))), X40=3, ('Variable Inputs'!$C$28+(VLOOKUP('Variable Inputs'!$C$27,'Probabilities &amp; Price Slide'!$P$33:$T$370,3,TRUE))), X40=4, ('Variable Inputs'!$C$28+(VLOOKUP('Variable Inputs'!$C$27,'Probabilities &amp; Price Slide'!$P$33:$T$370,3,TRUE))), X40=11, ('Variable Inputs'!$C$28+(VLOOKUP('Variable Inputs'!$C$27,'Probabilities &amp; Price Slide'!$P$33:$T$370,3,TRUE))), X40=5, 'Variable Inputs'!$C$28, X40=6, 'Variable Inputs'!$C$28, X40=7, 'Variable Inputs'!$C$28, X40=8, 'Variable Inputs'!$C$28, X40=9, 'Variable Inputs'!$C$28, X40=10, 'Variable Inputs'!$C$28)))-vc))</f>
        <v xml:space="preserve"> </v>
      </c>
      <c r="Y43" s="105" t="str" cm="1">
        <f t="array" ref="Y43">IF(Y42=" "," ",((('Variable Inputs'!$C$27-(VLOOKUP(Y40, 'Probabilities &amp; Price Slide'!$B$20:$E$29,4, FALSE)))*(_xlfn.IFS(Y40=2, ('Variable Inputs'!$C$28+(VLOOKUP('Variable Inputs'!$C$27,'Probabilities &amp; Price Slide'!$P$33:$T$370,3,TRUE))), Y40=3, ('Variable Inputs'!$C$28+(VLOOKUP('Variable Inputs'!$C$27,'Probabilities &amp; Price Slide'!$P$33:$T$370,3,TRUE))), Y40=4, ('Variable Inputs'!$C$28+(VLOOKUP('Variable Inputs'!$C$27,'Probabilities &amp; Price Slide'!$P$33:$T$370,3,TRUE))), Y40=11, ('Variable Inputs'!$C$28+(VLOOKUP('Variable Inputs'!$C$27,'Probabilities &amp; Price Slide'!$P$33:$T$370,3,TRUE))), Y40=5, 'Variable Inputs'!$C$28, Y40=6, 'Variable Inputs'!$C$28, Y40=7, 'Variable Inputs'!$C$28, Y40=8, 'Variable Inputs'!$C$28, Y40=9, 'Variable Inputs'!$C$28, Y40=10, 'Variable Inputs'!$C$28)))-vc))</f>
        <v xml:space="preserve"> </v>
      </c>
      <c r="Z43" s="105" t="str" cm="1">
        <f t="array" ref="Z43">IF(Z42=" "," ",((('Variable Inputs'!$C$27-(VLOOKUP(Z40, 'Probabilities &amp; Price Slide'!$B$20:$E$29,4, FALSE)))*(_xlfn.IFS(Z40=2, ('Variable Inputs'!$C$28+(VLOOKUP('Variable Inputs'!$C$27,'Probabilities &amp; Price Slide'!$P$33:$T$370,3,TRUE))), Z40=3, ('Variable Inputs'!$C$28+(VLOOKUP('Variable Inputs'!$C$27,'Probabilities &amp; Price Slide'!$P$33:$T$370,3,TRUE))), Z40=4, ('Variable Inputs'!$C$28+(VLOOKUP('Variable Inputs'!$C$27,'Probabilities &amp; Price Slide'!$P$33:$T$370,3,TRUE))), Z40=11, ('Variable Inputs'!$C$28+(VLOOKUP('Variable Inputs'!$C$27,'Probabilities &amp; Price Slide'!$P$33:$T$370,3,TRUE))), Z40=5, 'Variable Inputs'!$C$28, Z40=6, 'Variable Inputs'!$C$28, Z40=7, 'Variable Inputs'!$C$28, Z40=8, 'Variable Inputs'!$C$28, Z40=9, 'Variable Inputs'!$C$28, Z40=10, 'Variable Inputs'!$C$28)))-vc))</f>
        <v xml:space="preserve"> </v>
      </c>
      <c r="AA43" s="105" t="str" cm="1">
        <f t="array" ref="AA43">IF(AA42=" "," ",((('Variable Inputs'!$C$27-(VLOOKUP(AA40, 'Probabilities &amp; Price Slide'!$B$20:$E$29,4, FALSE)))*(_xlfn.IFS(AA40=2, ('Variable Inputs'!$C$28+(VLOOKUP('Variable Inputs'!$C$27,'Probabilities &amp; Price Slide'!$P$33:$T$370,3,TRUE))), AA40=3, ('Variable Inputs'!$C$28+(VLOOKUP('Variable Inputs'!$C$27,'Probabilities &amp; Price Slide'!$P$33:$T$370,3,TRUE))), AA40=4, ('Variable Inputs'!$C$28+(VLOOKUP('Variable Inputs'!$C$27,'Probabilities &amp; Price Slide'!$P$33:$T$370,3,TRUE))), AA40=11, ('Variable Inputs'!$C$28+(VLOOKUP('Variable Inputs'!$C$27,'Probabilities &amp; Price Slide'!$P$33:$T$370,3,TRUE))), AA40=5, 'Variable Inputs'!$C$28, AA40=6, 'Variable Inputs'!$C$28, AA40=7, 'Variable Inputs'!$C$28, AA40=8, 'Variable Inputs'!$C$28, AA40=9, 'Variable Inputs'!$C$28, AA40=10, 'Variable Inputs'!$C$28)))-vc))</f>
        <v xml:space="preserve"> </v>
      </c>
      <c r="AB43" s="105" t="str" cm="1">
        <f t="array" ref="AB43">IF(AB42=" "," ",((('Variable Inputs'!$C$27-(VLOOKUP(AB40, 'Probabilities &amp; Price Slide'!$B$20:$E$29,4, FALSE)))*(_xlfn.IFS(AB40=2, ('Variable Inputs'!$C$28+(VLOOKUP('Variable Inputs'!$C$27,'Probabilities &amp; Price Slide'!$P$33:$T$370,3,TRUE))), AB40=3, ('Variable Inputs'!$C$28+(VLOOKUP('Variable Inputs'!$C$27,'Probabilities &amp; Price Slide'!$P$33:$T$370,3,TRUE))), AB40=4, ('Variable Inputs'!$C$28+(VLOOKUP('Variable Inputs'!$C$27,'Probabilities &amp; Price Slide'!$P$33:$T$370,3,TRUE))), AB40=11, ('Variable Inputs'!$C$28+(VLOOKUP('Variable Inputs'!$C$27,'Probabilities &amp; Price Slide'!$P$33:$T$370,3,TRUE))), AB40=5, 'Variable Inputs'!$C$28, AB40=6, 'Variable Inputs'!$C$28, AB40=7, 'Variable Inputs'!$C$28, AB40=8, 'Variable Inputs'!$C$28, AB40=9, 'Variable Inputs'!$C$28, AB40=10, 'Variable Inputs'!$C$28)))-vc))</f>
        <v xml:space="preserve"> </v>
      </c>
    </row>
    <row r="44" spans="1:30" x14ac:dyDescent="0.3">
      <c r="A44" s="103" t="s">
        <v>51</v>
      </c>
      <c r="B44" s="105" t="str">
        <f t="shared" ref="B44" si="29">IF(B42=" "," ", (IF(A41=on, H,(IF(B40=PC+1, S, " ")))))</f>
        <v xml:space="preserve"> </v>
      </c>
      <c r="C44" s="105" t="str">
        <f>IF(C42=" "," ", (IF(B41=on, -H,(IF(C40=PC+1, (IF(C40&gt;8,'Variable Inputs'!$C$36*('Variable Inputs'!$C$37+'Probabilities &amp; Price Slide'!$B$38), S)), " ")))))</f>
        <v xml:space="preserve"> </v>
      </c>
      <c r="D44" s="105" t="str">
        <f>IF(D42=" "," ", (IF(C41=on, -H,(IF(D40=PC+1, (IF(D40&gt;8,'Variable Inputs'!$C$36*('Variable Inputs'!$C$37+'Probabilities &amp; Price Slide'!$B$38), S)), " ")))))</f>
        <v xml:space="preserve"> </v>
      </c>
      <c r="E44" s="105">
        <f>IF(E42=" "," ", (IF(D41=on, -H,(IF(E40=PC+1, (IF(E40&gt;8,'Variable Inputs'!$C$36*('Variable Inputs'!$C$37+'Probabilities &amp; Price Slide'!$B$38), S)), " ")))))</f>
        <v>-1500</v>
      </c>
      <c r="F44" s="105" t="str">
        <f>IF(F42=" "," ", (IF(E41=on, -H,(IF(F40=PC+1, (IF(F40&gt;8,'Variable Inputs'!$C$36*('Variable Inputs'!$C$37+'Probabilities &amp; Price Slide'!$B$38), S)), " ")))))</f>
        <v xml:space="preserve"> </v>
      </c>
      <c r="G44" s="105" t="str">
        <f>IF(G42=" "," ", (IF(F41=on, -H,(IF(G40=PC+1, (IF(G40&gt;8,'Variable Inputs'!$C$36*('Variable Inputs'!$C$37+'Probabilities &amp; Price Slide'!$B$38), S)), " ")))))</f>
        <v xml:space="preserve"> </v>
      </c>
      <c r="H44" s="105" t="str">
        <f>IF(H42=" "," ", (IF(G41=on, -H,(IF(H40=PC+1, (IF(H40&gt;8,'Variable Inputs'!$C$36*('Variable Inputs'!$C$37+'Probabilities &amp; Price Slide'!$B$38), S)), " ")))))</f>
        <v xml:space="preserve"> </v>
      </c>
      <c r="I44" s="105" t="str">
        <f>IF(I42=" "," ", (IF(H41=on, -H,(IF(I40=PC+1, (IF(I40&gt;8,'Variable Inputs'!$C$36*('Variable Inputs'!$C$37+'Probabilities &amp; Price Slide'!$B$38), S)), " ")))))</f>
        <v xml:space="preserve"> </v>
      </c>
      <c r="J44" s="105" t="str">
        <f>IF(J42=" "," ", (IF(I41=on, -H,(IF(J40=PC+1, (IF(J40&gt;8,'Variable Inputs'!$C$36*('Variable Inputs'!$C$37+'Probabilities &amp; Price Slide'!$B$38), S)), " ")))))</f>
        <v xml:space="preserve"> </v>
      </c>
      <c r="K44" s="105" t="str">
        <f>IF(K42=" "," ", (IF(J41=on, -H,(IF(K40=PC+1, (IF(K40&gt;8,'Variable Inputs'!$C$36*('Variable Inputs'!$C$37+'Probabilities &amp; Price Slide'!$B$38), S)), " ")))))</f>
        <v xml:space="preserve"> </v>
      </c>
      <c r="L44" s="105" t="str">
        <f>IF(L42=" "," ", (IF(K41=on, -H,(IF(L40=PC+1, (IF(L40&gt;8,'Variable Inputs'!$C$36*('Variable Inputs'!$C$37+'Probabilities &amp; Price Slide'!$B$38), S)), " ")))))</f>
        <v xml:space="preserve"> </v>
      </c>
      <c r="M44" s="105" t="str">
        <f>IF(M42=" "," ", (IF(L41=on, -H,(IF(M40=PC+1, (IF(M40&gt;8,'Variable Inputs'!$C$36*('Variable Inputs'!$C$37+'Probabilities &amp; Price Slide'!$B$38), S)), " ")))))</f>
        <v xml:space="preserve"> </v>
      </c>
      <c r="N44" s="105">
        <f>IF(N42=" "," ", (IF(M41=on, -H,(IF(N40=PC+1, (IF(N40&gt;8,'Variable Inputs'!$C$36*('Variable Inputs'!$C$37+'Probabilities &amp; Price Slide'!$B$38), S)), " ")))))</f>
        <v>810</v>
      </c>
      <c r="O44" s="105" t="str">
        <f>IF(O42=" "," ", (IF(N41=on, -H,(IF(O40=PC+1, (IF(O40&gt;8,'Variable Inputs'!$C$36*('Variable Inputs'!$C$37+'Probabilities &amp; Price Slide'!$B$38), S)), " ")))))</f>
        <v xml:space="preserve"> </v>
      </c>
      <c r="P44" s="105" t="str">
        <f>IF(P42=" "," ", (IF(O41=on, -H,(IF(P40=PC+1, (IF(P40&gt;8,'Variable Inputs'!$C$36*('Variable Inputs'!$C$37+'Probabilities &amp; Price Slide'!$B$38), S)), " ")))))</f>
        <v xml:space="preserve"> </v>
      </c>
      <c r="Q44" s="105" t="str">
        <f>IF(Q42=" "," ", (IF(P41=on, -H,(IF(Q40=PC+1, (IF(Q40&gt;8,'Variable Inputs'!$C$36*('Variable Inputs'!$C$37+'Probabilities &amp; Price Slide'!$B$38), S)), " ")))))</f>
        <v xml:space="preserve"> </v>
      </c>
      <c r="R44" s="105" t="str">
        <f>IF(R42=" "," ", (IF(Q41=on, -H,(IF(R40=PC+1, (IF(R40&gt;8,'Variable Inputs'!$C$36*('Variable Inputs'!$C$37+'Probabilities &amp; Price Slide'!$B$38), S)), " ")))))</f>
        <v xml:space="preserve"> </v>
      </c>
      <c r="S44" s="105" t="str">
        <f>IF(S42=" "," ", (IF(R41=on, -H,(IF(S40=PC+1, (IF(S40&gt;8,'Variable Inputs'!$C$36*('Variable Inputs'!$C$37+'Probabilities &amp; Price Slide'!$B$38), S)), " ")))))</f>
        <v xml:space="preserve"> </v>
      </c>
      <c r="T44" s="105" t="str">
        <f>IF(T42=" "," ", (IF(S41=on, -H,(IF(T40=PC+1, (IF(T40&gt;8,'Variable Inputs'!$C$36*('Variable Inputs'!$C$37+'Probabilities &amp; Price Slide'!$B$38), S)), " ")))))</f>
        <v xml:space="preserve"> </v>
      </c>
      <c r="U44" s="105" t="str">
        <f>IF(U42=" "," ", (IF(T41=on, -H,(IF(U40=PC+1, (IF(U40&gt;8,'Variable Inputs'!$C$36*('Variable Inputs'!$C$37+'Probabilities &amp; Price Slide'!$B$38), S)), " ")))))</f>
        <v xml:space="preserve"> </v>
      </c>
      <c r="V44" s="105" t="str">
        <f>IF(V42=" "," ", (IF(U41=on, -H,(IF(V40=PC+1, (IF(V40&gt;8,'Variable Inputs'!$C$36*('Variable Inputs'!$C$37+'Probabilities &amp; Price Slide'!$B$38), S)), " ")))))</f>
        <v xml:space="preserve"> </v>
      </c>
      <c r="W44" s="105" t="str">
        <f>IF(W42=" "," ", (IF(V41=on, -H,(IF(W40=PC+1, (IF(W40&gt;8,'Variable Inputs'!$C$36*('Variable Inputs'!$C$37+'Probabilities &amp; Price Slide'!$B$38), S)), " ")))))</f>
        <v xml:space="preserve"> </v>
      </c>
      <c r="X44" s="105" t="str">
        <f>IF(X42=" "," ", (IF(W41=on, -H,(IF(X40=PC+1, (IF(X40&gt;8,'Variable Inputs'!$C$36*('Variable Inputs'!$C$37+'Probabilities &amp; Price Slide'!$B$38), S)), " ")))))</f>
        <v xml:space="preserve"> </v>
      </c>
      <c r="Y44" s="105" t="str">
        <f>IF(Y42=" "," ", (IF(X41=on, -H,(IF(Y40=PC+1, (IF(Y40&gt;8,'Variable Inputs'!$C$36*('Variable Inputs'!$C$37+'Probabilities &amp; Price Slide'!$B$38), S)), " ")))))</f>
        <v xml:space="preserve"> </v>
      </c>
      <c r="Z44" s="105" t="str">
        <f>IF(Z42=" "," ", (IF(Y41=on, -H,(IF(Z40=PC+1, (IF(Z40&gt;8,'Variable Inputs'!$C$36*('Variable Inputs'!$C$37+'Probabilities &amp; Price Slide'!$B$38), S)), " ")))))</f>
        <v xml:space="preserve"> </v>
      </c>
      <c r="AA44" s="105" t="str">
        <f>IF(AA42=" "," ", (IF(Z41=on, -H,(IF(AA40=PC+1, (IF(AA40&gt;8,'Variable Inputs'!$C$36*('Variable Inputs'!$C$37+'Probabilities &amp; Price Slide'!$B$38), S)), " ")))))</f>
        <v xml:space="preserve"> </v>
      </c>
      <c r="AB44" s="105" t="str">
        <f>IF(AB42=" "," ", (IF(AA41=on, -H,(IF(AB40=PC+1, (IF(AB40&gt;8,'Variable Inputs'!$C$36*('Variable Inputs'!$C$37+'Probabilities &amp; Price Slide'!$B$38), S)), " ")))))</f>
        <v xml:space="preserve"> </v>
      </c>
    </row>
    <row r="45" spans="1:30" ht="15" thickBot="1" x14ac:dyDescent="0.35">
      <c r="A45" s="103" t="s">
        <v>52</v>
      </c>
      <c r="B45" s="61"/>
      <c r="C45" s="106"/>
      <c r="D45" s="106"/>
      <c r="E45" s="106">
        <f>IF(E42=" "," ", (SUM(E43:E44)))</f>
        <v>-1010.7157803926111</v>
      </c>
      <c r="F45" s="106">
        <f t="shared" ref="F45:AB45" si="30">IF(F42=" "," ", (SUM(F43:F44)))</f>
        <v>525.61637972684446</v>
      </c>
      <c r="G45" s="106">
        <f t="shared" si="30"/>
        <v>561.52851487382088</v>
      </c>
      <c r="H45" s="106">
        <f t="shared" si="30"/>
        <v>650</v>
      </c>
      <c r="I45" s="106">
        <f t="shared" si="30"/>
        <v>650</v>
      </c>
      <c r="J45" s="106">
        <f t="shared" si="30"/>
        <v>650</v>
      </c>
      <c r="K45" s="106">
        <f t="shared" si="30"/>
        <v>650</v>
      </c>
      <c r="L45" s="106">
        <f t="shared" si="30"/>
        <v>650</v>
      </c>
      <c r="M45" s="106">
        <f t="shared" si="30"/>
        <v>650</v>
      </c>
      <c r="N45" s="106">
        <f t="shared" si="30"/>
        <v>1371.5285148738208</v>
      </c>
      <c r="O45" s="106" t="str">
        <f t="shared" si="30"/>
        <v xml:space="preserve"> </v>
      </c>
      <c r="P45" s="106" t="str">
        <f t="shared" si="30"/>
        <v xml:space="preserve"> </v>
      </c>
      <c r="Q45" s="106" t="str">
        <f t="shared" si="30"/>
        <v xml:space="preserve"> </v>
      </c>
      <c r="R45" s="106" t="str">
        <f t="shared" si="30"/>
        <v xml:space="preserve"> </v>
      </c>
      <c r="S45" s="106" t="str">
        <f t="shared" si="30"/>
        <v xml:space="preserve"> </v>
      </c>
      <c r="T45" s="106" t="str">
        <f t="shared" si="30"/>
        <v xml:space="preserve"> </v>
      </c>
      <c r="U45" s="106" t="str">
        <f t="shared" si="30"/>
        <v xml:space="preserve"> </v>
      </c>
      <c r="V45" s="106" t="str">
        <f t="shared" si="30"/>
        <v xml:space="preserve"> </v>
      </c>
      <c r="W45" s="106" t="str">
        <f t="shared" si="30"/>
        <v xml:space="preserve"> </v>
      </c>
      <c r="X45" s="106" t="str">
        <f t="shared" si="30"/>
        <v xml:space="preserve"> </v>
      </c>
      <c r="Y45" s="106" t="str">
        <f t="shared" si="30"/>
        <v xml:space="preserve"> </v>
      </c>
      <c r="Z45" s="106" t="str">
        <f t="shared" si="30"/>
        <v xml:space="preserve"> </v>
      </c>
      <c r="AA45" s="106" t="str">
        <f t="shared" si="30"/>
        <v xml:space="preserve"> </v>
      </c>
      <c r="AB45" s="106" t="str">
        <f t="shared" si="30"/>
        <v xml:space="preserve"> </v>
      </c>
    </row>
    <row r="46" spans="1:30" ht="15" thickBot="1" x14ac:dyDescent="0.35">
      <c r="A46" s="101" t="s">
        <v>46</v>
      </c>
      <c r="B46" s="97"/>
      <c r="C46" s="107"/>
      <c r="D46" s="107"/>
      <c r="E46" s="107">
        <f>IF(E42=" "," ", (E45*E42))</f>
        <v>-1010.7157803926111</v>
      </c>
      <c r="F46" s="107">
        <f t="shared" ref="F46:AB46" si="31">IF(F42=" "," ", (F45*F42))</f>
        <v>500.58702831128039</v>
      </c>
      <c r="G46" s="107">
        <f t="shared" si="31"/>
        <v>509.32291598532504</v>
      </c>
      <c r="H46" s="107">
        <f t="shared" si="31"/>
        <v>561.49443904545944</v>
      </c>
      <c r="I46" s="107">
        <f t="shared" si="31"/>
        <v>534.75660861472329</v>
      </c>
      <c r="J46" s="107">
        <f t="shared" si="31"/>
        <v>509.2920082044983</v>
      </c>
      <c r="K46" s="107">
        <f t="shared" si="31"/>
        <v>485.04000781380796</v>
      </c>
      <c r="L46" s="107">
        <f t="shared" si="31"/>
        <v>461.94286458457896</v>
      </c>
      <c r="M46" s="107">
        <f t="shared" si="31"/>
        <v>439.94558531864669</v>
      </c>
      <c r="N46" s="107">
        <f t="shared" si="31"/>
        <v>884.09950953461862</v>
      </c>
      <c r="O46" s="107" t="str">
        <f t="shared" si="31"/>
        <v xml:space="preserve"> </v>
      </c>
      <c r="P46" s="107" t="str">
        <f t="shared" si="31"/>
        <v xml:space="preserve"> </v>
      </c>
      <c r="Q46" s="107" t="str">
        <f t="shared" si="31"/>
        <v xml:space="preserve"> </v>
      </c>
      <c r="R46" s="107" t="str">
        <f t="shared" si="31"/>
        <v xml:space="preserve"> </v>
      </c>
      <c r="S46" s="107" t="str">
        <f t="shared" si="31"/>
        <v xml:space="preserve"> </v>
      </c>
      <c r="T46" s="107" t="str">
        <f t="shared" si="31"/>
        <v xml:space="preserve"> </v>
      </c>
      <c r="U46" s="107" t="str">
        <f t="shared" si="31"/>
        <v xml:space="preserve"> </v>
      </c>
      <c r="V46" s="107" t="str">
        <f t="shared" si="31"/>
        <v xml:space="preserve"> </v>
      </c>
      <c r="W46" s="107" t="str">
        <f t="shared" si="31"/>
        <v xml:space="preserve"> </v>
      </c>
      <c r="X46" s="107" t="str">
        <f t="shared" si="31"/>
        <v xml:space="preserve"> </v>
      </c>
      <c r="Y46" s="107" t="str">
        <f t="shared" si="31"/>
        <v xml:space="preserve"> </v>
      </c>
      <c r="Z46" s="107" t="str">
        <f t="shared" si="31"/>
        <v xml:space="preserve"> </v>
      </c>
      <c r="AA46" s="107" t="str">
        <f t="shared" si="31"/>
        <v xml:space="preserve"> </v>
      </c>
      <c r="AB46" s="107" t="str">
        <f t="shared" si="31"/>
        <v xml:space="preserve"> </v>
      </c>
      <c r="AC46" s="2">
        <f>SUM(C46:AB46)</f>
        <v>3875.7651870203281</v>
      </c>
      <c r="AD46" s="91" t="s">
        <v>125</v>
      </c>
    </row>
    <row r="47" spans="1:30" x14ac:dyDescent="0.3">
      <c r="A47" s="87"/>
      <c r="B47" s="87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</row>
    <row r="48" spans="1:30" s="68" customFormat="1" x14ac:dyDescent="0.3">
      <c r="A48" s="94" t="s">
        <v>53</v>
      </c>
      <c r="B48" s="95"/>
      <c r="C48" s="96"/>
      <c r="D48" s="97"/>
      <c r="E48" s="97"/>
      <c r="F48" s="97"/>
      <c r="G48" s="97"/>
      <c r="H48" s="95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9"/>
    </row>
    <row r="49" spans="1:30" x14ac:dyDescent="0.3">
      <c r="A49" s="100" t="s">
        <v>50</v>
      </c>
      <c r="B49" s="100"/>
      <c r="C49" s="115">
        <f>C50+1</f>
        <v>1</v>
      </c>
      <c r="D49" s="115">
        <f t="shared" ref="D49:AB49" si="32">IF(rn=D50, 2, C49+1)</f>
        <v>2</v>
      </c>
      <c r="E49" s="115">
        <f t="shared" si="32"/>
        <v>2</v>
      </c>
      <c r="F49" s="115">
        <f t="shared" si="32"/>
        <v>3</v>
      </c>
      <c r="G49" s="115">
        <f t="shared" si="32"/>
        <v>4</v>
      </c>
      <c r="H49" s="115">
        <f t="shared" si="32"/>
        <v>5</v>
      </c>
      <c r="I49" s="115">
        <f t="shared" si="32"/>
        <v>6</v>
      </c>
      <c r="J49" s="115">
        <f t="shared" si="32"/>
        <v>7</v>
      </c>
      <c r="K49" s="115">
        <f t="shared" si="32"/>
        <v>8</v>
      </c>
      <c r="L49" s="115">
        <f t="shared" si="32"/>
        <v>9</v>
      </c>
      <c r="M49" s="115">
        <f t="shared" si="32"/>
        <v>10</v>
      </c>
      <c r="N49" s="115">
        <f t="shared" si="32"/>
        <v>11</v>
      </c>
      <c r="O49" s="115">
        <f t="shared" si="32"/>
        <v>12</v>
      </c>
      <c r="P49" s="115">
        <f t="shared" si="32"/>
        <v>13</v>
      </c>
      <c r="Q49" s="115">
        <f t="shared" si="32"/>
        <v>14</v>
      </c>
      <c r="R49" s="115">
        <f t="shared" si="32"/>
        <v>15</v>
      </c>
      <c r="S49" s="115">
        <f t="shared" si="32"/>
        <v>16</v>
      </c>
      <c r="T49" s="115">
        <f t="shared" si="32"/>
        <v>17</v>
      </c>
      <c r="U49" s="115">
        <f t="shared" si="32"/>
        <v>18</v>
      </c>
      <c r="V49" s="115">
        <f t="shared" si="32"/>
        <v>19</v>
      </c>
      <c r="W49" s="115">
        <f t="shared" si="32"/>
        <v>20</v>
      </c>
      <c r="X49" s="115">
        <f t="shared" si="32"/>
        <v>21</v>
      </c>
      <c r="Y49" s="115">
        <f t="shared" si="32"/>
        <v>22</v>
      </c>
      <c r="Z49" s="115">
        <f t="shared" si="32"/>
        <v>23</v>
      </c>
      <c r="AA49" s="115">
        <f t="shared" si="32"/>
        <v>24</v>
      </c>
      <c r="AB49" s="115">
        <f t="shared" si="32"/>
        <v>25</v>
      </c>
      <c r="AC49" s="58"/>
    </row>
    <row r="50" spans="1:30" x14ac:dyDescent="0.3">
      <c r="A50" s="101" t="s">
        <v>43</v>
      </c>
      <c r="B50" s="101"/>
      <c r="C50" s="116">
        <v>0</v>
      </c>
      <c r="D50" s="116">
        <f t="shared" ref="D50:AB50" si="33">IF(C50=(PC+rn)," ",(IF(C50=" "," ",C50+1)))</f>
        <v>1</v>
      </c>
      <c r="E50" s="116">
        <f t="shared" si="33"/>
        <v>2</v>
      </c>
      <c r="F50" s="116">
        <f t="shared" si="33"/>
        <v>3</v>
      </c>
      <c r="G50" s="116">
        <f t="shared" si="33"/>
        <v>4</v>
      </c>
      <c r="H50" s="116">
        <f t="shared" si="33"/>
        <v>5</v>
      </c>
      <c r="I50" s="116">
        <f t="shared" si="33"/>
        <v>6</v>
      </c>
      <c r="J50" s="116">
        <f t="shared" si="33"/>
        <v>7</v>
      </c>
      <c r="K50" s="116">
        <f t="shared" si="33"/>
        <v>8</v>
      </c>
      <c r="L50" s="116">
        <f t="shared" si="33"/>
        <v>9</v>
      </c>
      <c r="M50" s="116">
        <f t="shared" si="33"/>
        <v>10</v>
      </c>
      <c r="N50" s="116">
        <f t="shared" si="33"/>
        <v>11</v>
      </c>
      <c r="O50" s="116">
        <f t="shared" si="33"/>
        <v>12</v>
      </c>
      <c r="P50" s="116" t="str">
        <f t="shared" si="33"/>
        <v xml:space="preserve"> </v>
      </c>
      <c r="Q50" s="116" t="str">
        <f t="shared" si="33"/>
        <v xml:space="preserve"> </v>
      </c>
      <c r="R50" s="116" t="str">
        <f t="shared" si="33"/>
        <v xml:space="preserve"> </v>
      </c>
      <c r="S50" s="116" t="str">
        <f t="shared" si="33"/>
        <v xml:space="preserve"> </v>
      </c>
      <c r="T50" s="116" t="str">
        <f t="shared" si="33"/>
        <v xml:space="preserve"> </v>
      </c>
      <c r="U50" s="116" t="str">
        <f t="shared" si="33"/>
        <v xml:space="preserve"> </v>
      </c>
      <c r="V50" s="116" t="str">
        <f t="shared" si="33"/>
        <v xml:space="preserve"> </v>
      </c>
      <c r="W50" s="116" t="str">
        <f t="shared" si="33"/>
        <v xml:space="preserve"> </v>
      </c>
      <c r="X50" s="116" t="str">
        <f t="shared" si="33"/>
        <v xml:space="preserve"> </v>
      </c>
      <c r="Y50" s="116" t="str">
        <f t="shared" si="33"/>
        <v xml:space="preserve"> </v>
      </c>
      <c r="Z50" s="116" t="str">
        <f t="shared" si="33"/>
        <v xml:space="preserve"> </v>
      </c>
      <c r="AA50" s="116" t="str">
        <f t="shared" si="33"/>
        <v xml:space="preserve"> </v>
      </c>
      <c r="AB50" s="116" t="str">
        <f t="shared" si="33"/>
        <v xml:space="preserve"> </v>
      </c>
      <c r="AC50" s="4" t="str">
        <f>IF(AB50=(PC+3)," ",(IF(AB50=" "," ",AB50+1)))</f>
        <v xml:space="preserve"> </v>
      </c>
    </row>
    <row r="51" spans="1:30" x14ac:dyDescent="0.3">
      <c r="A51" s="101" t="s">
        <v>44</v>
      </c>
      <c r="B51" s="101"/>
      <c r="C51" s="102" t="str">
        <f>IF(C50=" ", " ",(IF(Age&lt;'NPV Scenario 1'!C49, " ", (IF(C50&gt;=rn, 1/(1+i)^(C50-rn)," ")))))</f>
        <v xml:space="preserve"> </v>
      </c>
      <c r="D51" s="102" t="str">
        <f>IF(D50=" ", " ",(IF(Age&lt;'NPV Scenario 1'!D49, " ", (IF(D50&gt;=rn, 1/(1+i)^(D50-rn)," ")))))</f>
        <v xml:space="preserve"> </v>
      </c>
      <c r="E51" s="102">
        <f>IF(E50=" ", " ",(IF(Age&lt;'NPV Scenario 1'!E49, " ", (IF(E50&gt;=rn, 1/(1+i)^(E50-rn)," ")))))</f>
        <v>1</v>
      </c>
      <c r="F51" s="102">
        <f>IF(F50=" ", " ",(IF(Age&lt;'NPV Scenario 1'!F49, " ", (IF(F50&gt;=rn, 1/(1+i)^(F50-rn)," ")))))</f>
        <v>0.95238095238095233</v>
      </c>
      <c r="G51" s="102">
        <f>IF(G50=" ", " ",(IF(Age&lt;'NPV Scenario 1'!G49, " ", (IF(G50&gt;=rn, 1/(1+i)^(G50-rn)," ")))))</f>
        <v>0.90702947845804982</v>
      </c>
      <c r="H51" s="102">
        <f>IF(H50=" ", " ",(IF(Age&lt;'NPV Scenario 1'!H49, " ", (IF(H50&gt;=rn, 1/(1+i)^(H50-rn)," ")))))</f>
        <v>0.86383759853147601</v>
      </c>
      <c r="I51" s="102">
        <f>IF(I50=" ", " ",(IF(Age&lt;'NPV Scenario 1'!I49, " ", (IF(I50&gt;=rn, 1/(1+i)^(I50-rn)," ")))))</f>
        <v>0.82270247479188197</v>
      </c>
      <c r="J51" s="102">
        <f>IF(J50=" ", " ",(IF(Age&lt;'NPV Scenario 1'!J49, " ", (IF(J50&gt;=rn, 1/(1+i)^(J50-rn)," ")))))</f>
        <v>0.78352616646845896</v>
      </c>
      <c r="K51" s="102">
        <f>IF(K50=" ", " ",(IF(Age&lt;'NPV Scenario 1'!K49, " ", (IF(K50&gt;=rn, 1/(1+i)^(K50-rn)," ")))))</f>
        <v>0.74621539663662761</v>
      </c>
      <c r="L51" s="102">
        <f>IF(L50=" ", " ",(IF(Age&lt;'NPV Scenario 1'!L49, " ", (IF(L50&gt;=rn, 1/(1+i)^(L50-rn)," ")))))</f>
        <v>0.71068133013012147</v>
      </c>
      <c r="M51" s="102">
        <f>IF(M50=" ", " ",(IF(Age&lt;'NPV Scenario 1'!M49, " ", (IF(M50&gt;=rn, 1/(1+i)^(M50-rn)," ")))))</f>
        <v>0.67683936202868722</v>
      </c>
      <c r="N51" s="102">
        <f>IF(N50=" ", " ",(IF(Age&lt;'NPV Scenario 1'!N49, " ", (IF(N50&gt;=rn, 1/(1+i)^(N50-rn)," ")))))</f>
        <v>0.64460891621779726</v>
      </c>
      <c r="O51" s="102" t="str">
        <f>IF(O50=" ", " ",(IF(Age&lt;'NPV Scenario 1'!O49, " ", (IF(O50&gt;=rn, 1/(1+i)^(O50-rn)," ")))))</f>
        <v xml:space="preserve"> </v>
      </c>
      <c r="P51" s="102" t="str">
        <f>IF(P50=" ", " ",(IF(Age&lt;'NPV Scenario 1'!P49, " ", (IF(P50&gt;=rn, 1/(1+i)^(P50-rn)," ")))))</f>
        <v xml:space="preserve"> </v>
      </c>
      <c r="Q51" s="102" t="str">
        <f>IF(Q50=" ", " ",(IF(Age&lt;'NPV Scenario 1'!Q49, " ", (IF(Q50&gt;=rn, 1/(1+i)^(Q50-rn)," ")))))</f>
        <v xml:space="preserve"> </v>
      </c>
      <c r="R51" s="102" t="str">
        <f>IF(R50=" ", " ",(IF(Age&lt;'NPV Scenario 1'!R49, " ", (IF(R50&gt;=rn, 1/(1+i)^(R50-rn)," ")))))</f>
        <v xml:space="preserve"> </v>
      </c>
      <c r="S51" s="102" t="str">
        <f>IF(S50=" ", " ",(IF(Age&lt;'NPV Scenario 1'!S49, " ", (IF(S50&gt;=rn, 1/(1+i)^(S50-rn)," ")))))</f>
        <v xml:space="preserve"> </v>
      </c>
      <c r="T51" s="102" t="str">
        <f>IF(T50=" ", " ",(IF(Age&lt;'NPV Scenario 1'!T49, " ", (IF(T50&gt;=rn, 1/(1+i)^(T50-rn)," ")))))</f>
        <v xml:space="preserve"> </v>
      </c>
      <c r="U51" s="102" t="str">
        <f>IF(U50=" ", " ",(IF(Age&lt;'NPV Scenario 1'!U49, " ", (IF(U50&gt;=rn, 1/(1+i)^(U50-rn)," ")))))</f>
        <v xml:space="preserve"> </v>
      </c>
      <c r="V51" s="102" t="str">
        <f>IF(V50=" ", " ",(IF(Age&lt;'NPV Scenario 1'!V49, " ", (IF(V50&gt;=rn, 1/(1+i)^(V50-rn)," ")))))</f>
        <v xml:space="preserve"> </v>
      </c>
      <c r="W51" s="102" t="str">
        <f>IF(W50=" ", " ",(IF(Age&lt;'NPV Scenario 1'!W49, " ", (IF(W50&gt;=rn, 1/(1+i)^(W50-rn)," ")))))</f>
        <v xml:space="preserve"> </v>
      </c>
      <c r="X51" s="102" t="str">
        <f>IF(X50=" ", " ",(IF(Age&lt;'NPV Scenario 1'!X49, " ", (IF(X50&gt;=rn, 1/(1+i)^(X50-rn)," ")))))</f>
        <v xml:space="preserve"> </v>
      </c>
      <c r="Y51" s="102" t="str">
        <f>IF(Y50=" ", " ",(IF(Age&lt;'NPV Scenario 1'!Y49, " ", (IF(Y50&gt;=rn, 1/(1+i)^(Y50-rn)," ")))))</f>
        <v xml:space="preserve"> </v>
      </c>
      <c r="Z51" s="102" t="str">
        <f>IF(Z50=" ", " ",(IF(Age&lt;'NPV Scenario 1'!Z49, " ", (IF(Z50&gt;=rn, 1/(1+i)^(Z50-rn)," ")))))</f>
        <v xml:space="preserve"> </v>
      </c>
      <c r="AA51" s="102" t="str">
        <f>IF(AA50=" ", " ",(IF(Age&lt;'NPV Scenario 1'!AA49, " ", (IF(AA50&gt;=rn, 1/(1+i)^(AA50-rn)," ")))))</f>
        <v xml:space="preserve"> </v>
      </c>
      <c r="AB51" s="102" t="str">
        <f>IF(AB50=" ", " ",(IF(Age&lt;'NPV Scenario 1'!AB49, " ", (IF(AB50&gt;=rn, 1/(1+i)^(AB50-rn)," ")))))</f>
        <v xml:space="preserve"> </v>
      </c>
      <c r="AC51" s="58"/>
    </row>
    <row r="52" spans="1:30" x14ac:dyDescent="0.3">
      <c r="A52" s="103" t="s">
        <v>27</v>
      </c>
      <c r="B52" s="103"/>
      <c r="C52" s="105"/>
      <c r="D52" s="61"/>
      <c r="E52" s="105" cm="1">
        <f t="array" ref="E52">IF(E51=" "," ",(IF(D50=on,-vc,((('Variable Inputs'!$C$27-(VLOOKUP(E49, 'Probabilities &amp; Price Slide'!$B$20:$E$29,4, FALSE)))*(_xlfn.IFS(E49=2, ('Variable Inputs'!$C$28+(VLOOKUP('Variable Inputs'!$C$27,'Probabilities &amp; Price Slide'!$P$33:$T$370,3,TRUE))), E49=3, ('Variable Inputs'!$C$28+(VLOOKUP('Variable Inputs'!$C$27,'Probabilities &amp; Price Slide'!$P$33:$T$370,3,TRUE))), E49=4, ('Variable Inputs'!$C$28+(VLOOKUP('Variable Inputs'!$C$27,'Probabilities &amp; Price Slide'!$P$33:$T$370,3,TRUE))), E49=11, ('Variable Inputs'!$C$28+(VLOOKUP('Variable Inputs'!$C$27,'Probabilities &amp; Price Slide'!$P$33:$T$370,3,TRUE))), E49=5, 'Variable Inputs'!$C$28, E49=6, 'Variable Inputs'!$C$28, E49=7, 'Variable Inputs'!$C$28, E49=8, 'Variable Inputs'!$C$28, E49=9, 'Variable Inputs'!$C$28, E49=10, 'Variable Inputs'!$C$28)))-vc))))</f>
        <v>-450</v>
      </c>
      <c r="F52" s="105" cm="1">
        <f t="array" ref="F52">IF(F51=" "," ",(IF(E50=on,-vc,((('Variable Inputs'!$C$27-(VLOOKUP(F49, 'Probabilities &amp; Price Slide'!$B$20:$E$29,4, FALSE)))*(_xlfn.IFS(F49=2, ('Variable Inputs'!$C$28+(VLOOKUP('Variable Inputs'!$C$27,'Probabilities &amp; Price Slide'!$P$33:$T$370,3,TRUE))), F49=3, ('Variable Inputs'!$C$28+(VLOOKUP('Variable Inputs'!$C$27,'Probabilities &amp; Price Slide'!$P$33:$T$370,3,TRUE))), F49=4, ('Variable Inputs'!$C$28+(VLOOKUP('Variable Inputs'!$C$27,'Probabilities &amp; Price Slide'!$P$33:$T$370,3,TRUE))), F49=11, ('Variable Inputs'!$C$28+(VLOOKUP('Variable Inputs'!$C$27,'Probabilities &amp; Price Slide'!$P$33:$T$370,3,TRUE))), F49=5, 'Variable Inputs'!$C$28, F49=6, 'Variable Inputs'!$C$28, F49=7, 'Variable Inputs'!$C$28, F49=8, 'Variable Inputs'!$C$28, F49=9, 'Variable Inputs'!$C$28, F49=10, 'Variable Inputs'!$C$28)))-vc))))</f>
        <v>525.61637972684446</v>
      </c>
      <c r="G52" s="105" cm="1">
        <f t="array" ref="G52">IF(G51=" "," ",(IF(F50=on,-vc,((('Variable Inputs'!$C$27-(VLOOKUP(G49, 'Probabilities &amp; Price Slide'!$B$20:$E$29,4, FALSE)))*(_xlfn.IFS(G49=2, ('Variable Inputs'!$C$28+(VLOOKUP('Variable Inputs'!$C$27,'Probabilities &amp; Price Slide'!$P$33:$T$370,3,TRUE))), G49=3, ('Variable Inputs'!$C$28+(VLOOKUP('Variable Inputs'!$C$27,'Probabilities &amp; Price Slide'!$P$33:$T$370,3,TRUE))), G49=4, ('Variable Inputs'!$C$28+(VLOOKUP('Variable Inputs'!$C$27,'Probabilities &amp; Price Slide'!$P$33:$T$370,3,TRUE))), G49=11, ('Variable Inputs'!$C$28+(VLOOKUP('Variable Inputs'!$C$27,'Probabilities &amp; Price Slide'!$P$33:$T$370,3,TRUE))), G49=5, 'Variable Inputs'!$C$28, G49=6, 'Variable Inputs'!$C$28, G49=7, 'Variable Inputs'!$C$28, G49=8, 'Variable Inputs'!$C$28, G49=9, 'Variable Inputs'!$C$28, G49=10, 'Variable Inputs'!$C$28)))-vc))))</f>
        <v>561.52851487382088</v>
      </c>
      <c r="H52" s="105" cm="1">
        <f t="array" ref="H52">IF(H51=" "," ",(IF(G50=on,-vc,((('Variable Inputs'!$C$27-(VLOOKUP(H49, 'Probabilities &amp; Price Slide'!$B$20:$E$29,4, FALSE)))*(_xlfn.IFS(H49=2, ('Variable Inputs'!$C$28+(VLOOKUP('Variable Inputs'!$C$27,'Probabilities &amp; Price Slide'!$P$33:$T$370,3,TRUE))), H49=3, ('Variable Inputs'!$C$28+(VLOOKUP('Variable Inputs'!$C$27,'Probabilities &amp; Price Slide'!$P$33:$T$370,3,TRUE))), H49=4, ('Variable Inputs'!$C$28+(VLOOKUP('Variable Inputs'!$C$27,'Probabilities &amp; Price Slide'!$P$33:$T$370,3,TRUE))), H49=11, ('Variable Inputs'!$C$28+(VLOOKUP('Variable Inputs'!$C$27,'Probabilities &amp; Price Slide'!$P$33:$T$370,3,TRUE))), H49=5, 'Variable Inputs'!$C$28, H49=6, 'Variable Inputs'!$C$28, H49=7, 'Variable Inputs'!$C$28, H49=8, 'Variable Inputs'!$C$28, H49=9, 'Variable Inputs'!$C$28, H49=10, 'Variable Inputs'!$C$28)))-vc))))</f>
        <v>650</v>
      </c>
      <c r="I52" s="105" cm="1">
        <f t="array" ref="I52">IF(I51=" "," ",(IF(H50=on,-vc,((('Variable Inputs'!$C$27-(VLOOKUP(I49, 'Probabilities &amp; Price Slide'!$B$20:$E$29,4, FALSE)))*(_xlfn.IFS(I49=2, ('Variable Inputs'!$C$28+(VLOOKUP('Variable Inputs'!$C$27,'Probabilities &amp; Price Slide'!$P$33:$T$370,3,TRUE))), I49=3, ('Variable Inputs'!$C$28+(VLOOKUP('Variable Inputs'!$C$27,'Probabilities &amp; Price Slide'!$P$33:$T$370,3,TRUE))), I49=4, ('Variable Inputs'!$C$28+(VLOOKUP('Variable Inputs'!$C$27,'Probabilities &amp; Price Slide'!$P$33:$T$370,3,TRUE))), I49=11, ('Variable Inputs'!$C$28+(VLOOKUP('Variable Inputs'!$C$27,'Probabilities &amp; Price Slide'!$P$33:$T$370,3,TRUE))), I49=5, 'Variable Inputs'!$C$28, I49=6, 'Variable Inputs'!$C$28, I49=7, 'Variable Inputs'!$C$28, I49=8, 'Variable Inputs'!$C$28, I49=9, 'Variable Inputs'!$C$28, I49=10, 'Variable Inputs'!$C$28)))-vc))))</f>
        <v>650</v>
      </c>
      <c r="J52" s="105" cm="1">
        <f t="array" ref="J52">IF(J51=" "," ",(IF(I50=on,-vc,((('Variable Inputs'!$C$27-(VLOOKUP(J49, 'Probabilities &amp; Price Slide'!$B$20:$E$29,4, FALSE)))*(_xlfn.IFS(J49=2, ('Variable Inputs'!$C$28+(VLOOKUP('Variable Inputs'!$C$27,'Probabilities &amp; Price Slide'!$P$33:$T$370,3,TRUE))), J49=3, ('Variable Inputs'!$C$28+(VLOOKUP('Variable Inputs'!$C$27,'Probabilities &amp; Price Slide'!$P$33:$T$370,3,TRUE))), J49=4, ('Variable Inputs'!$C$28+(VLOOKUP('Variable Inputs'!$C$27,'Probabilities &amp; Price Slide'!$P$33:$T$370,3,TRUE))), J49=11, ('Variable Inputs'!$C$28+(VLOOKUP('Variable Inputs'!$C$27,'Probabilities &amp; Price Slide'!$P$33:$T$370,3,TRUE))), J49=5, 'Variable Inputs'!$C$28, J49=6, 'Variable Inputs'!$C$28, J49=7, 'Variable Inputs'!$C$28, J49=8, 'Variable Inputs'!$C$28, J49=9, 'Variable Inputs'!$C$28, J49=10, 'Variable Inputs'!$C$28)))-vc))))</f>
        <v>650</v>
      </c>
      <c r="K52" s="105" cm="1">
        <f t="array" ref="K52">IF(K51=" "," ",(IF(J50=on,-vc,((('Variable Inputs'!$C$27-(VLOOKUP(K49, 'Probabilities &amp; Price Slide'!$B$20:$E$29,4, FALSE)))*(_xlfn.IFS(K49=2, ('Variable Inputs'!$C$28+(VLOOKUP('Variable Inputs'!$C$27,'Probabilities &amp; Price Slide'!$P$33:$T$370,3,TRUE))), K49=3, ('Variable Inputs'!$C$28+(VLOOKUP('Variable Inputs'!$C$27,'Probabilities &amp; Price Slide'!$P$33:$T$370,3,TRUE))), K49=4, ('Variable Inputs'!$C$28+(VLOOKUP('Variable Inputs'!$C$27,'Probabilities &amp; Price Slide'!$P$33:$T$370,3,TRUE))), K49=11, ('Variable Inputs'!$C$28+(VLOOKUP('Variable Inputs'!$C$27,'Probabilities &amp; Price Slide'!$P$33:$T$370,3,TRUE))), K49=5, 'Variable Inputs'!$C$28, K49=6, 'Variable Inputs'!$C$28, K49=7, 'Variable Inputs'!$C$28, K49=8, 'Variable Inputs'!$C$28, K49=9, 'Variable Inputs'!$C$28, K49=10, 'Variable Inputs'!$C$28)))-vc))))</f>
        <v>650</v>
      </c>
      <c r="L52" s="105" cm="1">
        <f t="array" ref="L52">IF(L51=" "," ",(IF(K50=on,-vc,((('Variable Inputs'!$C$27-(VLOOKUP(L49, 'Probabilities &amp; Price Slide'!$B$20:$E$29,4, FALSE)))*(_xlfn.IFS(L49=2, ('Variable Inputs'!$C$28+(VLOOKUP('Variable Inputs'!$C$27,'Probabilities &amp; Price Slide'!$P$33:$T$370,3,TRUE))), L49=3, ('Variable Inputs'!$C$28+(VLOOKUP('Variable Inputs'!$C$27,'Probabilities &amp; Price Slide'!$P$33:$T$370,3,TRUE))), L49=4, ('Variable Inputs'!$C$28+(VLOOKUP('Variable Inputs'!$C$27,'Probabilities &amp; Price Slide'!$P$33:$T$370,3,TRUE))), L49=11, ('Variable Inputs'!$C$28+(VLOOKUP('Variable Inputs'!$C$27,'Probabilities &amp; Price Slide'!$P$33:$T$370,3,TRUE))), L49=5, 'Variable Inputs'!$C$28, L49=6, 'Variable Inputs'!$C$28, L49=7, 'Variable Inputs'!$C$28, L49=8, 'Variable Inputs'!$C$28, L49=9, 'Variable Inputs'!$C$28, L49=10, 'Variable Inputs'!$C$28)))-vc))))</f>
        <v>650</v>
      </c>
      <c r="M52" s="105" cm="1">
        <f t="array" ref="M52">IF(M51=" "," ",(IF(L50=on,-vc,((('Variable Inputs'!$C$27-(VLOOKUP(M49, 'Probabilities &amp; Price Slide'!$B$20:$E$29,4, FALSE)))*(_xlfn.IFS(M49=2, ('Variable Inputs'!$C$28+(VLOOKUP('Variable Inputs'!$C$27,'Probabilities &amp; Price Slide'!$P$33:$T$370,3,TRUE))), M49=3, ('Variable Inputs'!$C$28+(VLOOKUP('Variable Inputs'!$C$27,'Probabilities &amp; Price Slide'!$P$33:$T$370,3,TRUE))), M49=4, ('Variable Inputs'!$C$28+(VLOOKUP('Variable Inputs'!$C$27,'Probabilities &amp; Price Slide'!$P$33:$T$370,3,TRUE))), M49=11, ('Variable Inputs'!$C$28+(VLOOKUP('Variable Inputs'!$C$27,'Probabilities &amp; Price Slide'!$P$33:$T$370,3,TRUE))), M49=5, 'Variable Inputs'!$C$28, M49=6, 'Variable Inputs'!$C$28, M49=7, 'Variable Inputs'!$C$28, M49=8, 'Variable Inputs'!$C$28, M49=9, 'Variable Inputs'!$C$28, M49=10, 'Variable Inputs'!$C$28)))-vc))))</f>
        <v>650</v>
      </c>
      <c r="N52" s="105" cm="1">
        <f t="array" ref="N52">IF(N51=" "," ",(IF(M50=on,-vc,((('Variable Inputs'!$C$27-(VLOOKUP(N49, 'Probabilities &amp; Price Slide'!$B$20:$E$29,4, FALSE)))*(_xlfn.IFS(N49=2, ('Variable Inputs'!$C$28+(VLOOKUP('Variable Inputs'!$C$27,'Probabilities &amp; Price Slide'!$P$33:$T$370,3,TRUE))), N49=3, ('Variable Inputs'!$C$28+(VLOOKUP('Variable Inputs'!$C$27,'Probabilities &amp; Price Slide'!$P$33:$T$370,3,TRUE))), N49=4, ('Variable Inputs'!$C$28+(VLOOKUP('Variable Inputs'!$C$27,'Probabilities &amp; Price Slide'!$P$33:$T$370,3,TRUE))), N49=11, ('Variable Inputs'!$C$28+(VLOOKUP('Variable Inputs'!$C$27,'Probabilities &amp; Price Slide'!$P$33:$T$370,3,TRUE))), N49=5, 'Variable Inputs'!$C$28, N49=6, 'Variable Inputs'!$C$28, N49=7, 'Variable Inputs'!$C$28, N49=8, 'Variable Inputs'!$C$28, N49=9, 'Variable Inputs'!$C$28, N49=10, 'Variable Inputs'!$C$28)))-vc))))</f>
        <v>561.52851487382088</v>
      </c>
      <c r="O52" s="105" t="str" cm="1">
        <f t="array" ref="O52">IF(O51=" "," ",(IF(N50=on,-vc,((('Variable Inputs'!$C$27-(VLOOKUP(O49, 'Probabilities &amp; Price Slide'!$B$20:$E$29,4, FALSE)))*(_xlfn.IFS(O49=2, ('Variable Inputs'!$C$28+(VLOOKUP('Variable Inputs'!$C$27,'Probabilities &amp; Price Slide'!$P$33:$T$370,3,TRUE))), O49=3, ('Variable Inputs'!$C$28+(VLOOKUP('Variable Inputs'!$C$27,'Probabilities &amp; Price Slide'!$P$33:$T$370,3,TRUE))), O49=4, ('Variable Inputs'!$C$28+(VLOOKUP('Variable Inputs'!$C$27,'Probabilities &amp; Price Slide'!$P$33:$T$370,3,TRUE))), O49=11, ('Variable Inputs'!$C$28+(VLOOKUP('Variable Inputs'!$C$27,'Probabilities &amp; Price Slide'!$P$33:$T$370,3,TRUE))), O49=5, 'Variable Inputs'!$C$28, O49=6, 'Variable Inputs'!$C$28, O49=7, 'Variable Inputs'!$C$28, O49=8, 'Variable Inputs'!$C$28, O49=9, 'Variable Inputs'!$C$28, O49=10, 'Variable Inputs'!$C$28)))-vc))))</f>
        <v xml:space="preserve"> </v>
      </c>
      <c r="P52" s="105" t="str" cm="1">
        <f t="array" ref="P52">IF(P51=" "," ",(IF(O50=on,-vc,((('Variable Inputs'!$C$27-(VLOOKUP(P49, 'Probabilities &amp; Price Slide'!$B$20:$E$29,4, FALSE)))*(_xlfn.IFS(P49=2, ('Variable Inputs'!$C$28+(VLOOKUP('Variable Inputs'!$C$27,'Probabilities &amp; Price Slide'!$P$33:$T$370,3,TRUE))), P49=3, ('Variable Inputs'!$C$28+(VLOOKUP('Variable Inputs'!$C$27,'Probabilities &amp; Price Slide'!$P$33:$T$370,3,TRUE))), P49=4, ('Variable Inputs'!$C$28+(VLOOKUP('Variable Inputs'!$C$27,'Probabilities &amp; Price Slide'!$P$33:$T$370,3,TRUE))), P49=11, ('Variable Inputs'!$C$28+(VLOOKUP('Variable Inputs'!$C$27,'Probabilities &amp; Price Slide'!$P$33:$T$370,3,TRUE))), P49=5, 'Variable Inputs'!$C$28, P49=6, 'Variable Inputs'!$C$28, P49=7, 'Variable Inputs'!$C$28, P49=8, 'Variable Inputs'!$C$28, P49=9, 'Variable Inputs'!$C$28, P49=10, 'Variable Inputs'!$C$28)))-vc))))</f>
        <v xml:space="preserve"> </v>
      </c>
      <c r="Q52" s="105" t="str" cm="1">
        <f t="array" ref="Q52">IF(Q51=" "," ",(IF(P50=on,-vc,((('Variable Inputs'!$C$27-(VLOOKUP(Q49, 'Probabilities &amp; Price Slide'!$B$20:$E$29,4, FALSE)))*(_xlfn.IFS(Q49=2, ('Variable Inputs'!$C$28+(VLOOKUP('Variable Inputs'!$C$27,'Probabilities &amp; Price Slide'!$P$33:$T$370,3,TRUE))), Q49=3, ('Variable Inputs'!$C$28+(VLOOKUP('Variable Inputs'!$C$27,'Probabilities &amp; Price Slide'!$P$33:$T$370,3,TRUE))), Q49=4, ('Variable Inputs'!$C$28+(VLOOKUP('Variable Inputs'!$C$27,'Probabilities &amp; Price Slide'!$P$33:$T$370,3,TRUE))), Q49=11, ('Variable Inputs'!$C$28+(VLOOKUP('Variable Inputs'!$C$27,'Probabilities &amp; Price Slide'!$P$33:$T$370,3,TRUE))), Q49=5, 'Variable Inputs'!$C$28, Q49=6, 'Variable Inputs'!$C$28, Q49=7, 'Variable Inputs'!$C$28, Q49=8, 'Variable Inputs'!$C$28, Q49=9, 'Variable Inputs'!$C$28, Q49=10, 'Variable Inputs'!$C$28)))-vc))))</f>
        <v xml:space="preserve"> </v>
      </c>
      <c r="R52" s="105" t="str" cm="1">
        <f t="array" ref="R52">IF(R51=" "," ",(IF(Q50=on,-vc,((('Variable Inputs'!$C$27-(VLOOKUP(R49, 'Probabilities &amp; Price Slide'!$B$20:$E$29,4, FALSE)))*(_xlfn.IFS(R49=2, ('Variable Inputs'!$C$28+(VLOOKUP('Variable Inputs'!$C$27,'Probabilities &amp; Price Slide'!$P$33:$T$370,3,TRUE))), R49=3, ('Variable Inputs'!$C$28+(VLOOKUP('Variable Inputs'!$C$27,'Probabilities &amp; Price Slide'!$P$33:$T$370,3,TRUE))), R49=4, ('Variable Inputs'!$C$28+(VLOOKUP('Variable Inputs'!$C$27,'Probabilities &amp; Price Slide'!$P$33:$T$370,3,TRUE))), R49=11, ('Variable Inputs'!$C$28+(VLOOKUP('Variable Inputs'!$C$27,'Probabilities &amp; Price Slide'!$P$33:$T$370,3,TRUE))), R49=5, 'Variable Inputs'!$C$28, R49=6, 'Variable Inputs'!$C$28, R49=7, 'Variable Inputs'!$C$28, R49=8, 'Variable Inputs'!$C$28, R49=9, 'Variable Inputs'!$C$28, R49=10, 'Variable Inputs'!$C$28)))-vc))))</f>
        <v xml:space="preserve"> </v>
      </c>
      <c r="S52" s="105" t="str" cm="1">
        <f t="array" ref="S52">IF(S51=" "," ",(IF(R50=on,-vc,((('Variable Inputs'!$C$27-(VLOOKUP(S49, 'Probabilities &amp; Price Slide'!$B$20:$E$29,4, FALSE)))*(_xlfn.IFS(S49=2, ('Variable Inputs'!$C$28+(VLOOKUP('Variable Inputs'!$C$27,'Probabilities &amp; Price Slide'!$P$33:$T$370,3,TRUE))), S49=3, ('Variable Inputs'!$C$28+(VLOOKUP('Variable Inputs'!$C$27,'Probabilities &amp; Price Slide'!$P$33:$T$370,3,TRUE))), S49=4, ('Variable Inputs'!$C$28+(VLOOKUP('Variable Inputs'!$C$27,'Probabilities &amp; Price Slide'!$P$33:$T$370,3,TRUE))), S49=11, ('Variable Inputs'!$C$28+(VLOOKUP('Variable Inputs'!$C$27,'Probabilities &amp; Price Slide'!$P$33:$T$370,3,TRUE))), S49=5, 'Variable Inputs'!$C$28, S49=6, 'Variable Inputs'!$C$28, S49=7, 'Variable Inputs'!$C$28, S49=8, 'Variable Inputs'!$C$28, S49=9, 'Variable Inputs'!$C$28, S49=10, 'Variable Inputs'!$C$28)))-vc))))</f>
        <v xml:space="preserve"> </v>
      </c>
      <c r="T52" s="105" t="str" cm="1">
        <f t="array" ref="T52">IF(T51=" "," ",(IF(S50=on,-vc,((('Variable Inputs'!$C$27-(VLOOKUP(T49, 'Probabilities &amp; Price Slide'!$B$20:$E$29,4, FALSE)))*(_xlfn.IFS(T49=2, ('Variable Inputs'!$C$28+(VLOOKUP('Variable Inputs'!$C$27,'Probabilities &amp; Price Slide'!$P$33:$T$370,3,TRUE))), T49=3, ('Variable Inputs'!$C$28+(VLOOKUP('Variable Inputs'!$C$27,'Probabilities &amp; Price Slide'!$P$33:$T$370,3,TRUE))), T49=4, ('Variable Inputs'!$C$28+(VLOOKUP('Variable Inputs'!$C$27,'Probabilities &amp; Price Slide'!$P$33:$T$370,3,TRUE))), T49=11, ('Variable Inputs'!$C$28+(VLOOKUP('Variable Inputs'!$C$27,'Probabilities &amp; Price Slide'!$P$33:$T$370,3,TRUE))), T49=5, 'Variable Inputs'!$C$28, T49=6, 'Variable Inputs'!$C$28, T49=7, 'Variable Inputs'!$C$28, T49=8, 'Variable Inputs'!$C$28, T49=9, 'Variable Inputs'!$C$28, T49=10, 'Variable Inputs'!$C$28)))-vc))))</f>
        <v xml:space="preserve"> </v>
      </c>
      <c r="U52" s="105" t="str" cm="1">
        <f t="array" ref="U52">IF(U51=" "," ",(IF(T50=on,-vc,((('Variable Inputs'!$C$27-(VLOOKUP(U49, 'Probabilities &amp; Price Slide'!$B$20:$E$29,4, FALSE)))*(_xlfn.IFS(U49=2, ('Variable Inputs'!$C$28+(VLOOKUP('Variable Inputs'!$C$27,'Probabilities &amp; Price Slide'!$P$33:$T$370,3,TRUE))), U49=3, ('Variable Inputs'!$C$28+(VLOOKUP('Variable Inputs'!$C$27,'Probabilities &amp; Price Slide'!$P$33:$T$370,3,TRUE))), U49=4, ('Variable Inputs'!$C$28+(VLOOKUP('Variable Inputs'!$C$27,'Probabilities &amp; Price Slide'!$P$33:$T$370,3,TRUE))), U49=11, ('Variable Inputs'!$C$28+(VLOOKUP('Variable Inputs'!$C$27,'Probabilities &amp; Price Slide'!$P$33:$T$370,3,TRUE))), U49=5, 'Variable Inputs'!$C$28, U49=6, 'Variable Inputs'!$C$28, U49=7, 'Variable Inputs'!$C$28, U49=8, 'Variable Inputs'!$C$28, U49=9, 'Variable Inputs'!$C$28, U49=10, 'Variable Inputs'!$C$28)))-vc))))</f>
        <v xml:space="preserve"> </v>
      </c>
      <c r="V52" s="105" t="str" cm="1">
        <f t="array" ref="V52">IF(V51=" "," ",(IF(U50=on,-vc,((('Variable Inputs'!$C$27-(VLOOKUP(V49, 'Probabilities &amp; Price Slide'!$B$20:$E$29,4, FALSE)))*(_xlfn.IFS(V49=2, ('Variable Inputs'!$C$28+(VLOOKUP('Variable Inputs'!$C$27,'Probabilities &amp; Price Slide'!$P$33:$T$370,3,TRUE))), V49=3, ('Variable Inputs'!$C$28+(VLOOKUP('Variable Inputs'!$C$27,'Probabilities &amp; Price Slide'!$P$33:$T$370,3,TRUE))), V49=4, ('Variable Inputs'!$C$28+(VLOOKUP('Variable Inputs'!$C$27,'Probabilities &amp; Price Slide'!$P$33:$T$370,3,TRUE))), V49=11, ('Variable Inputs'!$C$28+(VLOOKUP('Variable Inputs'!$C$27,'Probabilities &amp; Price Slide'!$P$33:$T$370,3,TRUE))), V49=5, 'Variable Inputs'!$C$28, V49=6, 'Variable Inputs'!$C$28, V49=7, 'Variable Inputs'!$C$28, V49=8, 'Variable Inputs'!$C$28, V49=9, 'Variable Inputs'!$C$28, V49=10, 'Variable Inputs'!$C$28)))-vc))))</f>
        <v xml:space="preserve"> </v>
      </c>
      <c r="W52" s="105" t="str" cm="1">
        <f t="array" ref="W52">IF(W51=" "," ",(IF(V50=on,-vc,((('Variable Inputs'!$C$27-(VLOOKUP(W49, 'Probabilities &amp; Price Slide'!$B$20:$E$29,4, FALSE)))*(_xlfn.IFS(W49=2, ('Variable Inputs'!$C$28+(VLOOKUP('Variable Inputs'!$C$27,'Probabilities &amp; Price Slide'!$P$33:$T$370,3,TRUE))), W49=3, ('Variable Inputs'!$C$28+(VLOOKUP('Variable Inputs'!$C$27,'Probabilities &amp; Price Slide'!$P$33:$T$370,3,TRUE))), W49=4, ('Variable Inputs'!$C$28+(VLOOKUP('Variable Inputs'!$C$27,'Probabilities &amp; Price Slide'!$P$33:$T$370,3,TRUE))), W49=11, ('Variable Inputs'!$C$28+(VLOOKUP('Variable Inputs'!$C$27,'Probabilities &amp; Price Slide'!$P$33:$T$370,3,TRUE))), W49=5, 'Variable Inputs'!$C$28, W49=6, 'Variable Inputs'!$C$28, W49=7, 'Variable Inputs'!$C$28, W49=8, 'Variable Inputs'!$C$28, W49=9, 'Variable Inputs'!$C$28, W49=10, 'Variable Inputs'!$C$28)))-vc))))</f>
        <v xml:space="preserve"> </v>
      </c>
      <c r="X52" s="105" t="str" cm="1">
        <f t="array" ref="X52">IF(X51=" "," ",(IF(W50=on,-vc,((('Variable Inputs'!$C$27-(VLOOKUP(X49, 'Probabilities &amp; Price Slide'!$B$20:$E$29,4, FALSE)))*(_xlfn.IFS(X49=2, ('Variable Inputs'!$C$28+(VLOOKUP('Variable Inputs'!$C$27,'Probabilities &amp; Price Slide'!$P$33:$T$370,3,TRUE))), X49=3, ('Variable Inputs'!$C$28+(VLOOKUP('Variable Inputs'!$C$27,'Probabilities &amp; Price Slide'!$P$33:$T$370,3,TRUE))), X49=4, ('Variable Inputs'!$C$28+(VLOOKUP('Variable Inputs'!$C$27,'Probabilities &amp; Price Slide'!$P$33:$T$370,3,TRUE))), X49=11, ('Variable Inputs'!$C$28+(VLOOKUP('Variable Inputs'!$C$27,'Probabilities &amp; Price Slide'!$P$33:$T$370,3,TRUE))), X49=5, 'Variable Inputs'!$C$28, X49=6, 'Variable Inputs'!$C$28, X49=7, 'Variable Inputs'!$C$28, X49=8, 'Variable Inputs'!$C$28, X49=9, 'Variable Inputs'!$C$28, X49=10, 'Variable Inputs'!$C$28)))-vc))))</f>
        <v xml:space="preserve"> </v>
      </c>
      <c r="Y52" s="105" t="str" cm="1">
        <f t="array" ref="Y52">IF(Y51=" "," ",(IF(X50=on,-vc,((('Variable Inputs'!$C$27-(VLOOKUP(Y49, 'Probabilities &amp; Price Slide'!$B$20:$E$29,4, FALSE)))*(_xlfn.IFS(Y49=2, ('Variable Inputs'!$C$28+(VLOOKUP('Variable Inputs'!$C$27,'Probabilities &amp; Price Slide'!$P$33:$T$370,3,TRUE))), Y49=3, ('Variable Inputs'!$C$28+(VLOOKUP('Variable Inputs'!$C$27,'Probabilities &amp; Price Slide'!$P$33:$T$370,3,TRUE))), Y49=4, ('Variable Inputs'!$C$28+(VLOOKUP('Variable Inputs'!$C$27,'Probabilities &amp; Price Slide'!$P$33:$T$370,3,TRUE))), Y49=11, ('Variable Inputs'!$C$28+(VLOOKUP('Variable Inputs'!$C$27,'Probabilities &amp; Price Slide'!$P$33:$T$370,3,TRUE))), Y49=5, 'Variable Inputs'!$C$28, Y49=6, 'Variable Inputs'!$C$28, Y49=7, 'Variable Inputs'!$C$28, Y49=8, 'Variable Inputs'!$C$28, Y49=9, 'Variable Inputs'!$C$28, Y49=10, 'Variable Inputs'!$C$28)))-vc))))</f>
        <v xml:space="preserve"> </v>
      </c>
      <c r="Z52" s="105" t="str" cm="1">
        <f t="array" ref="Z52">IF(Z51=" "," ",(IF(Y50=on,-vc,((('Variable Inputs'!$C$27-(VLOOKUP(Z49, 'Probabilities &amp; Price Slide'!$B$20:$E$29,4, FALSE)))*(_xlfn.IFS(Z49=2, ('Variable Inputs'!$C$28+(VLOOKUP('Variable Inputs'!$C$27,'Probabilities &amp; Price Slide'!$P$33:$T$370,3,TRUE))), Z49=3, ('Variable Inputs'!$C$28+(VLOOKUP('Variable Inputs'!$C$27,'Probabilities &amp; Price Slide'!$P$33:$T$370,3,TRUE))), Z49=4, ('Variable Inputs'!$C$28+(VLOOKUP('Variable Inputs'!$C$27,'Probabilities &amp; Price Slide'!$P$33:$T$370,3,TRUE))), Z49=11, ('Variable Inputs'!$C$28+(VLOOKUP('Variable Inputs'!$C$27,'Probabilities &amp; Price Slide'!$P$33:$T$370,3,TRUE))), Z49=5, 'Variable Inputs'!$C$28, Z49=6, 'Variable Inputs'!$C$28, Z49=7, 'Variable Inputs'!$C$28, Z49=8, 'Variable Inputs'!$C$28, Z49=9, 'Variable Inputs'!$C$28, Z49=10, 'Variable Inputs'!$C$28)))-vc))))</f>
        <v xml:space="preserve"> </v>
      </c>
      <c r="AA52" s="105" t="str" cm="1">
        <f t="array" ref="AA52">IF(AA51=" "," ",(IF(Z50=on,-vc,((('Variable Inputs'!$C$27-(VLOOKUP(AA49, 'Probabilities &amp; Price Slide'!$B$20:$E$29,4, FALSE)))*(_xlfn.IFS(AA49=2, ('Variable Inputs'!$C$28+(VLOOKUP('Variable Inputs'!$C$27,'Probabilities &amp; Price Slide'!$P$33:$T$370,3,TRUE))), AA49=3, ('Variable Inputs'!$C$28+(VLOOKUP('Variable Inputs'!$C$27,'Probabilities &amp; Price Slide'!$P$33:$T$370,3,TRUE))), AA49=4, ('Variable Inputs'!$C$28+(VLOOKUP('Variable Inputs'!$C$27,'Probabilities &amp; Price Slide'!$P$33:$T$370,3,TRUE))), AA49=11, ('Variable Inputs'!$C$28+(VLOOKUP('Variable Inputs'!$C$27,'Probabilities &amp; Price Slide'!$P$33:$T$370,3,TRUE))), AA49=5, 'Variable Inputs'!$C$28, AA49=6, 'Variable Inputs'!$C$28, AA49=7, 'Variable Inputs'!$C$28, AA49=8, 'Variable Inputs'!$C$28, AA49=9, 'Variable Inputs'!$C$28, AA49=10, 'Variable Inputs'!$C$28)))-vc))))</f>
        <v xml:space="preserve"> </v>
      </c>
      <c r="AB52" s="105" t="str" cm="1">
        <f t="array" ref="AB52">IF(AB51=" "," ",(IF(AA50=on,-vc,((('Variable Inputs'!$C$27-(VLOOKUP(AB49, 'Probabilities &amp; Price Slide'!$B$20:$E$29,4, FALSE)))*(_xlfn.IFS(AB49=2, ('Variable Inputs'!$C$28+(VLOOKUP('Variable Inputs'!$C$27,'Probabilities &amp; Price Slide'!$P$33:$T$370,3,TRUE))), AB49=3, ('Variable Inputs'!$C$28+(VLOOKUP('Variable Inputs'!$C$27,'Probabilities &amp; Price Slide'!$P$33:$T$370,3,TRUE))), AB49=4, ('Variable Inputs'!$C$28+(VLOOKUP('Variable Inputs'!$C$27,'Probabilities &amp; Price Slide'!$P$33:$T$370,3,TRUE))), AB49=11, ('Variable Inputs'!$C$28+(VLOOKUP('Variable Inputs'!$C$27,'Probabilities &amp; Price Slide'!$P$33:$T$370,3,TRUE))), AB49=5, 'Variable Inputs'!$C$28, AB49=6, 'Variable Inputs'!$C$28, AB49=7, 'Variable Inputs'!$C$28, AB49=8, 'Variable Inputs'!$C$28, AB49=9, 'Variable Inputs'!$C$28, AB49=10, 'Variable Inputs'!$C$28)))-vc))))</f>
        <v xml:space="preserve"> </v>
      </c>
    </row>
    <row r="53" spans="1:30" x14ac:dyDescent="0.3">
      <c r="A53" s="103" t="s">
        <v>51</v>
      </c>
      <c r="B53" s="105" t="str">
        <f t="shared" ref="B53" si="34">IF(B51=" "," ", (IF(A50=on, H,(IF(B49=PC+1, S, " ")))))</f>
        <v xml:space="preserve"> </v>
      </c>
      <c r="C53" s="105" t="str">
        <f>IF(C51=" "," ", (IF(B50=on, -H,(IF(C49=PC+1, (IF(C49&gt;8,'Variable Inputs'!$C$36*('Variable Inputs'!$C$37+'Probabilities &amp; Price Slide'!$B$38), S)), " ")))))</f>
        <v xml:space="preserve"> </v>
      </c>
      <c r="D53" s="105" t="str">
        <f>IF(D51=" "," ", (IF(C50=on, -H,(IF(D49=PC+1, (IF(D49&gt;8,'Variable Inputs'!$C$36*('Variable Inputs'!$C$37+'Probabilities &amp; Price Slide'!$B$38), S)), " ")))))</f>
        <v xml:space="preserve"> </v>
      </c>
      <c r="E53" s="105">
        <f>IF(E51=" "," ", (IF(D50=on, -H,(IF(E49=PC+1, (IF(E49&gt;8,'Variable Inputs'!$C$36*('Variable Inputs'!$C$37+'Probabilities &amp; Price Slide'!$B$38), S)), " ")))))</f>
        <v>-1500</v>
      </c>
      <c r="F53" s="105" t="str">
        <f>IF(F51=" "," ", (IF(E50=on, -H,(IF(F49=PC+1, (IF(F49&gt;8,'Variable Inputs'!$C$36*('Variable Inputs'!$C$37+'Probabilities &amp; Price Slide'!$B$38), S)), " ")))))</f>
        <v xml:space="preserve"> </v>
      </c>
      <c r="G53" s="105" t="str">
        <f>IF(G51=" "," ", (IF(F50=on, -H,(IF(G49=PC+1, (IF(G49&gt;8,'Variable Inputs'!$C$36*('Variable Inputs'!$C$37+'Probabilities &amp; Price Slide'!$B$38), S)), " ")))))</f>
        <v xml:space="preserve"> </v>
      </c>
      <c r="H53" s="105" t="str">
        <f>IF(H51=" "," ", (IF(G50=on, -H,(IF(H49=PC+1, (IF(H49&gt;8,'Variable Inputs'!$C$36*('Variable Inputs'!$C$37+'Probabilities &amp; Price Slide'!$B$38), S)), " ")))))</f>
        <v xml:space="preserve"> </v>
      </c>
      <c r="I53" s="105" t="str">
        <f>IF(I51=" "," ", (IF(H50=on, -H,(IF(I49=PC+1, (IF(I49&gt;8,'Variable Inputs'!$C$36*('Variable Inputs'!$C$37+'Probabilities &amp; Price Slide'!$B$38), S)), " ")))))</f>
        <v xml:space="preserve"> </v>
      </c>
      <c r="J53" s="105" t="str">
        <f>IF(J51=" "," ", (IF(I50=on, -H,(IF(J49=PC+1, (IF(J49&gt;8,'Variable Inputs'!$C$36*('Variable Inputs'!$C$37+'Probabilities &amp; Price Slide'!$B$38), S)), " ")))))</f>
        <v xml:space="preserve"> </v>
      </c>
      <c r="K53" s="105" t="str">
        <f>IF(K51=" "," ", (IF(J50=on, -H,(IF(K49=PC+1, (IF(K49&gt;8,'Variable Inputs'!$C$36*('Variable Inputs'!$C$37+'Probabilities &amp; Price Slide'!$B$38), S)), " ")))))</f>
        <v xml:space="preserve"> </v>
      </c>
      <c r="L53" s="105" t="str">
        <f>IF(L51=" "," ", (IF(K50=on, -H,(IF(L49=PC+1, (IF(L49&gt;8,'Variable Inputs'!$C$36*('Variable Inputs'!$C$37+'Probabilities &amp; Price Slide'!$B$38), S)), " ")))))</f>
        <v xml:space="preserve"> </v>
      </c>
      <c r="M53" s="105" t="str">
        <f>IF(M51=" "," ", (IF(L50=on, -H,(IF(M49=PC+1, (IF(M49&gt;8,'Variable Inputs'!$C$36*('Variable Inputs'!$C$37+'Probabilities &amp; Price Slide'!$B$38), S)), " ")))))</f>
        <v xml:space="preserve"> </v>
      </c>
      <c r="N53" s="105">
        <f>IF(N51=" "," ", (IF(M50=on, -H,(IF(N49=PC+1, (IF(N49&gt;8,'Variable Inputs'!$C$36*('Variable Inputs'!$C$37+'Probabilities &amp; Price Slide'!$B$38), S)), " ")))))</f>
        <v>810</v>
      </c>
      <c r="O53" s="105" t="str">
        <f>IF(O51=" "," ", (IF(N50=on, -H,(IF(O49=PC+1, (IF(O49&gt;8,'Variable Inputs'!$C$36*('Variable Inputs'!$C$37+'Probabilities &amp; Price Slide'!$B$38), S)), " ")))))</f>
        <v xml:space="preserve"> </v>
      </c>
      <c r="P53" s="105" t="str">
        <f>IF(P51=" "," ", (IF(O50=on, -H,(IF(P49=PC+1, (IF(P49&gt;8,'Variable Inputs'!$C$36*('Variable Inputs'!$C$37+'Probabilities &amp; Price Slide'!$B$38), S)), " ")))))</f>
        <v xml:space="preserve"> </v>
      </c>
      <c r="Q53" s="105" t="str">
        <f>IF(Q51=" "," ", (IF(P50=on, -H,(IF(Q49=PC+1, (IF(Q49&gt;8,'Variable Inputs'!$C$36*('Variable Inputs'!$C$37+'Probabilities &amp; Price Slide'!$B$38), S)), " ")))))</f>
        <v xml:space="preserve"> </v>
      </c>
      <c r="R53" s="105" t="str">
        <f>IF(R51=" "," ", (IF(Q50=on, -H,(IF(R49=PC+1, (IF(R49&gt;8,'Variable Inputs'!$C$36*('Variable Inputs'!$C$37+'Probabilities &amp; Price Slide'!$B$38), S)), " ")))))</f>
        <v xml:space="preserve"> </v>
      </c>
      <c r="S53" s="105" t="str">
        <f>IF(S51=" "," ", (IF(R50=on, -H,(IF(S49=PC+1, (IF(S49&gt;8,'Variable Inputs'!$C$36*('Variable Inputs'!$C$37+'Probabilities &amp; Price Slide'!$B$38), S)), " ")))))</f>
        <v xml:space="preserve"> </v>
      </c>
      <c r="T53" s="105" t="str">
        <f>IF(T51=" "," ", (IF(S50=on, -H,(IF(T49=PC+1, (IF(T49&gt;8,'Variable Inputs'!$C$36*('Variable Inputs'!$C$37+'Probabilities &amp; Price Slide'!$B$38), S)), " ")))))</f>
        <v xml:space="preserve"> </v>
      </c>
      <c r="U53" s="105" t="str">
        <f>IF(U51=" "," ", (IF(T50=on, -H,(IF(U49=PC+1, (IF(U49&gt;8,'Variable Inputs'!$C$36*('Variable Inputs'!$C$37+'Probabilities &amp; Price Slide'!$B$38), S)), " ")))))</f>
        <v xml:space="preserve"> </v>
      </c>
      <c r="V53" s="105" t="str">
        <f>IF(V51=" "," ", (IF(U50=on, -H,(IF(V49=PC+1, (IF(V49&gt;8,'Variable Inputs'!$C$36*('Variable Inputs'!$C$37+'Probabilities &amp; Price Slide'!$B$38), S)), " ")))))</f>
        <v xml:space="preserve"> </v>
      </c>
      <c r="W53" s="105" t="str">
        <f>IF(W51=" "," ", (IF(V50=on, -H,(IF(W49=PC+1, (IF(W49&gt;8,'Variable Inputs'!$C$36*('Variable Inputs'!$C$37+'Probabilities &amp; Price Slide'!$B$38), S)), " ")))))</f>
        <v xml:space="preserve"> </v>
      </c>
      <c r="X53" s="105" t="str">
        <f>IF(X51=" "," ", (IF(W50=on, -H,(IF(X49=PC+1, (IF(X49&gt;8,'Variable Inputs'!$C$36*('Variable Inputs'!$C$37+'Probabilities &amp; Price Slide'!$B$38), S)), " ")))))</f>
        <v xml:space="preserve"> </v>
      </c>
      <c r="Y53" s="105" t="str">
        <f>IF(Y51=" "," ", (IF(X50=on, -H,(IF(Y49=PC+1, (IF(Y49&gt;8,'Variable Inputs'!$C$36*('Variable Inputs'!$C$37+'Probabilities &amp; Price Slide'!$B$38), S)), " ")))))</f>
        <v xml:space="preserve"> </v>
      </c>
      <c r="Z53" s="105" t="str">
        <f>IF(Z51=" "," ", (IF(Y50=on, -H,(IF(Z49=PC+1, (IF(Z49&gt;8,'Variable Inputs'!$C$36*('Variable Inputs'!$C$37+'Probabilities &amp; Price Slide'!$B$38), S)), " ")))))</f>
        <v xml:space="preserve"> </v>
      </c>
      <c r="AA53" s="105" t="str">
        <f>IF(AA51=" "," ", (IF(Z50=on, -H,(IF(AA49=PC+1, (IF(AA49&gt;8,'Variable Inputs'!$C$36*('Variable Inputs'!$C$37+'Probabilities &amp; Price Slide'!$B$38), S)), " ")))))</f>
        <v xml:space="preserve"> </v>
      </c>
      <c r="AB53" s="105" t="str">
        <f>IF(AB51=" "," ", (IF(AA50=on, -H,(IF(AB49=PC+1, (IF(AB49&gt;8,'Variable Inputs'!$C$36*('Variable Inputs'!$C$37+'Probabilities &amp; Price Slide'!$B$38), S)), " ")))))</f>
        <v xml:space="preserve"> </v>
      </c>
    </row>
    <row r="54" spans="1:30" ht="15" thickBot="1" x14ac:dyDescent="0.35">
      <c r="A54" s="103" t="s">
        <v>52</v>
      </c>
      <c r="B54" s="61"/>
      <c r="C54" s="106"/>
      <c r="D54" s="106"/>
      <c r="E54" s="106">
        <f>IF(E51=" "," ", (SUM(E52:E53)))</f>
        <v>-1950</v>
      </c>
      <c r="F54" s="106">
        <f t="shared" ref="F54:AB54" si="35">IF(F51=" "," ", (SUM(F52:F53)))</f>
        <v>525.61637972684446</v>
      </c>
      <c r="G54" s="106">
        <f t="shared" si="35"/>
        <v>561.52851487382088</v>
      </c>
      <c r="H54" s="106">
        <f t="shared" si="35"/>
        <v>650</v>
      </c>
      <c r="I54" s="106">
        <f t="shared" si="35"/>
        <v>650</v>
      </c>
      <c r="J54" s="106">
        <f t="shared" si="35"/>
        <v>650</v>
      </c>
      <c r="K54" s="106">
        <f t="shared" si="35"/>
        <v>650</v>
      </c>
      <c r="L54" s="106">
        <f t="shared" si="35"/>
        <v>650</v>
      </c>
      <c r="M54" s="106">
        <f t="shared" si="35"/>
        <v>650</v>
      </c>
      <c r="N54" s="106">
        <f t="shared" si="35"/>
        <v>1371.5285148738208</v>
      </c>
      <c r="O54" s="106" t="str">
        <f t="shared" si="35"/>
        <v xml:space="preserve"> </v>
      </c>
      <c r="P54" s="106" t="str">
        <f t="shared" si="35"/>
        <v xml:space="preserve"> </v>
      </c>
      <c r="Q54" s="106" t="str">
        <f t="shared" si="35"/>
        <v xml:space="preserve"> </v>
      </c>
      <c r="R54" s="106" t="str">
        <f t="shared" si="35"/>
        <v xml:space="preserve"> </v>
      </c>
      <c r="S54" s="106" t="str">
        <f t="shared" si="35"/>
        <v xml:space="preserve"> </v>
      </c>
      <c r="T54" s="106" t="str">
        <f t="shared" si="35"/>
        <v xml:space="preserve"> </v>
      </c>
      <c r="U54" s="106" t="str">
        <f t="shared" si="35"/>
        <v xml:space="preserve"> </v>
      </c>
      <c r="V54" s="106" t="str">
        <f t="shared" si="35"/>
        <v xml:space="preserve"> </v>
      </c>
      <c r="W54" s="106" t="str">
        <f t="shared" si="35"/>
        <v xml:space="preserve"> </v>
      </c>
      <c r="X54" s="106" t="str">
        <f t="shared" si="35"/>
        <v xml:space="preserve"> </v>
      </c>
      <c r="Y54" s="106" t="str">
        <f t="shared" si="35"/>
        <v xml:space="preserve"> </v>
      </c>
      <c r="Z54" s="106" t="str">
        <f t="shared" si="35"/>
        <v xml:space="preserve"> </v>
      </c>
      <c r="AA54" s="106" t="str">
        <f t="shared" si="35"/>
        <v xml:space="preserve"> </v>
      </c>
      <c r="AB54" s="106" t="str">
        <f t="shared" si="35"/>
        <v xml:space="preserve"> </v>
      </c>
    </row>
    <row r="55" spans="1:30" ht="15" thickBot="1" x14ac:dyDescent="0.35">
      <c r="A55" s="101" t="s">
        <v>46</v>
      </c>
      <c r="B55" s="97"/>
      <c r="C55" s="107"/>
      <c r="D55" s="107"/>
      <c r="E55" s="107">
        <f>IF(E51=" "," ", (E54*E51))</f>
        <v>-1950</v>
      </c>
      <c r="F55" s="107">
        <f t="shared" ref="F55:AB55" si="36">IF(F51=" "," ", (F54*F51))</f>
        <v>500.58702831128039</v>
      </c>
      <c r="G55" s="107">
        <f t="shared" si="36"/>
        <v>509.32291598532504</v>
      </c>
      <c r="H55" s="107">
        <f t="shared" si="36"/>
        <v>561.49443904545944</v>
      </c>
      <c r="I55" s="107">
        <f t="shared" si="36"/>
        <v>534.75660861472329</v>
      </c>
      <c r="J55" s="107">
        <f t="shared" si="36"/>
        <v>509.2920082044983</v>
      </c>
      <c r="K55" s="107">
        <f t="shared" si="36"/>
        <v>485.04000781380796</v>
      </c>
      <c r="L55" s="107">
        <f t="shared" si="36"/>
        <v>461.94286458457896</v>
      </c>
      <c r="M55" s="107">
        <f t="shared" si="36"/>
        <v>439.94558531864669</v>
      </c>
      <c r="N55" s="107">
        <f t="shared" si="36"/>
        <v>884.09950953461862</v>
      </c>
      <c r="O55" s="107" t="str">
        <f t="shared" si="36"/>
        <v xml:space="preserve"> </v>
      </c>
      <c r="P55" s="107" t="str">
        <f t="shared" si="36"/>
        <v xml:space="preserve"> </v>
      </c>
      <c r="Q55" s="107" t="str">
        <f t="shared" si="36"/>
        <v xml:space="preserve"> </v>
      </c>
      <c r="R55" s="107" t="str">
        <f t="shared" si="36"/>
        <v xml:space="preserve"> </v>
      </c>
      <c r="S55" s="107" t="str">
        <f t="shared" si="36"/>
        <v xml:space="preserve"> </v>
      </c>
      <c r="T55" s="107" t="str">
        <f t="shared" si="36"/>
        <v xml:space="preserve"> </v>
      </c>
      <c r="U55" s="107" t="str">
        <f t="shared" si="36"/>
        <v xml:space="preserve"> </v>
      </c>
      <c r="V55" s="107" t="str">
        <f t="shared" si="36"/>
        <v xml:space="preserve"> </v>
      </c>
      <c r="W55" s="107" t="str">
        <f t="shared" si="36"/>
        <v xml:space="preserve"> </v>
      </c>
      <c r="X55" s="107" t="str">
        <f t="shared" si="36"/>
        <v xml:space="preserve"> </v>
      </c>
      <c r="Y55" s="107" t="str">
        <f t="shared" si="36"/>
        <v xml:space="preserve"> </v>
      </c>
      <c r="Z55" s="107" t="str">
        <f t="shared" si="36"/>
        <v xml:space="preserve"> </v>
      </c>
      <c r="AA55" s="107" t="str">
        <f t="shared" si="36"/>
        <v xml:space="preserve"> </v>
      </c>
      <c r="AB55" s="107" t="str">
        <f t="shared" si="36"/>
        <v xml:space="preserve"> </v>
      </c>
      <c r="AC55" s="2">
        <f>SUM(C55:AB55)</f>
        <v>2936.4809674129383</v>
      </c>
      <c r="AD55" s="91" t="s">
        <v>124</v>
      </c>
    </row>
    <row r="56" spans="1:30" x14ac:dyDescent="0.3">
      <c r="A56" s="87"/>
      <c r="B56" s="87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S56" s="58"/>
      <c r="T56" s="58"/>
      <c r="U56" s="58"/>
      <c r="V56" s="58"/>
      <c r="W56" s="58"/>
      <c r="X56" s="58"/>
      <c r="Y56" s="58"/>
      <c r="Z56" s="58"/>
      <c r="AB56" s="58"/>
      <c r="AC56" s="58"/>
    </row>
    <row r="57" spans="1:30" s="68" customFormat="1" x14ac:dyDescent="0.3">
      <c r="A57" s="69" t="s">
        <v>54</v>
      </c>
      <c r="B57" s="109"/>
      <c r="C57" s="110"/>
      <c r="H57" s="10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</row>
    <row r="58" spans="1:30" x14ac:dyDescent="0.3">
      <c r="A58" s="111" t="s">
        <v>50</v>
      </c>
      <c r="B58" s="111"/>
      <c r="C58" s="117">
        <f>C59+1</f>
        <v>1</v>
      </c>
      <c r="D58" s="117">
        <f t="shared" ref="D58" si="37">D59+1</f>
        <v>2</v>
      </c>
      <c r="E58" s="117">
        <f t="shared" ref="E58:AB58" si="38">IF(rn=E59, 2, D58+1)</f>
        <v>2</v>
      </c>
      <c r="F58" s="117">
        <f t="shared" si="38"/>
        <v>3</v>
      </c>
      <c r="G58" s="117">
        <f t="shared" si="38"/>
        <v>4</v>
      </c>
      <c r="H58" s="117">
        <f t="shared" si="38"/>
        <v>5</v>
      </c>
      <c r="I58" s="117">
        <f t="shared" si="38"/>
        <v>6</v>
      </c>
      <c r="J58" s="117">
        <f t="shared" si="38"/>
        <v>7</v>
      </c>
      <c r="K58" s="117">
        <f t="shared" si="38"/>
        <v>8</v>
      </c>
      <c r="L58" s="117">
        <f t="shared" si="38"/>
        <v>9</v>
      </c>
      <c r="M58" s="117">
        <f t="shared" si="38"/>
        <v>10</v>
      </c>
      <c r="N58" s="117">
        <f t="shared" si="38"/>
        <v>11</v>
      </c>
      <c r="O58" s="117">
        <f t="shared" si="38"/>
        <v>12</v>
      </c>
      <c r="P58" s="117">
        <f t="shared" si="38"/>
        <v>13</v>
      </c>
      <c r="Q58" s="117">
        <f t="shared" si="38"/>
        <v>14</v>
      </c>
      <c r="R58" s="117">
        <f t="shared" si="38"/>
        <v>15</v>
      </c>
      <c r="S58" s="117">
        <f t="shared" si="38"/>
        <v>16</v>
      </c>
      <c r="T58" s="117">
        <f t="shared" si="38"/>
        <v>17</v>
      </c>
      <c r="U58" s="117">
        <f t="shared" si="38"/>
        <v>18</v>
      </c>
      <c r="V58" s="117">
        <f t="shared" si="38"/>
        <v>19</v>
      </c>
      <c r="W58" s="117">
        <f t="shared" si="38"/>
        <v>20</v>
      </c>
      <c r="X58" s="117">
        <f t="shared" si="38"/>
        <v>21</v>
      </c>
      <c r="Y58" s="117">
        <f t="shared" si="38"/>
        <v>22</v>
      </c>
      <c r="Z58" s="117">
        <f t="shared" si="38"/>
        <v>23</v>
      </c>
      <c r="AA58" s="117">
        <f t="shared" si="38"/>
        <v>24</v>
      </c>
      <c r="AB58" s="117">
        <f t="shared" si="38"/>
        <v>25</v>
      </c>
      <c r="AC58" s="58"/>
    </row>
    <row r="59" spans="1:30" x14ac:dyDescent="0.3">
      <c r="A59" s="85" t="s">
        <v>43</v>
      </c>
      <c r="B59" s="85"/>
      <c r="C59" s="114">
        <v>0</v>
      </c>
      <c r="D59" s="114">
        <f t="shared" ref="D59:AB59" si="39">IF(C59=(PC+rn)," ",(IF(C59=" "," ",C59+1)))</f>
        <v>1</v>
      </c>
      <c r="E59" s="114">
        <f t="shared" si="39"/>
        <v>2</v>
      </c>
      <c r="F59" s="114">
        <f t="shared" si="39"/>
        <v>3</v>
      </c>
      <c r="G59" s="114">
        <f t="shared" si="39"/>
        <v>4</v>
      </c>
      <c r="H59" s="114">
        <f t="shared" si="39"/>
        <v>5</v>
      </c>
      <c r="I59" s="114">
        <f t="shared" si="39"/>
        <v>6</v>
      </c>
      <c r="J59" s="114">
        <f t="shared" si="39"/>
        <v>7</v>
      </c>
      <c r="K59" s="114">
        <f t="shared" si="39"/>
        <v>8</v>
      </c>
      <c r="L59" s="114">
        <f t="shared" si="39"/>
        <v>9</v>
      </c>
      <c r="M59" s="114">
        <f t="shared" si="39"/>
        <v>10</v>
      </c>
      <c r="N59" s="114">
        <f t="shared" si="39"/>
        <v>11</v>
      </c>
      <c r="O59" s="114">
        <f t="shared" si="39"/>
        <v>12</v>
      </c>
      <c r="P59" s="114" t="str">
        <f t="shared" si="39"/>
        <v xml:space="preserve"> </v>
      </c>
      <c r="Q59" s="114" t="str">
        <f t="shared" si="39"/>
        <v xml:space="preserve"> </v>
      </c>
      <c r="R59" s="114" t="str">
        <f t="shared" si="39"/>
        <v xml:space="preserve"> </v>
      </c>
      <c r="S59" s="114" t="str">
        <f t="shared" si="39"/>
        <v xml:space="preserve"> </v>
      </c>
      <c r="T59" s="114" t="str">
        <f t="shared" si="39"/>
        <v xml:space="preserve"> </v>
      </c>
      <c r="U59" s="114" t="str">
        <f t="shared" si="39"/>
        <v xml:space="preserve"> </v>
      </c>
      <c r="V59" s="114" t="str">
        <f t="shared" si="39"/>
        <v xml:space="preserve"> </v>
      </c>
      <c r="W59" s="114" t="str">
        <f t="shared" si="39"/>
        <v xml:space="preserve"> </v>
      </c>
      <c r="X59" s="114" t="str">
        <f t="shared" si="39"/>
        <v xml:space="preserve"> </v>
      </c>
      <c r="Y59" s="114" t="str">
        <f t="shared" si="39"/>
        <v xml:space="preserve"> </v>
      </c>
      <c r="Z59" s="114" t="str">
        <f t="shared" si="39"/>
        <v xml:space="preserve"> </v>
      </c>
      <c r="AA59" s="114" t="str">
        <f t="shared" si="39"/>
        <v xml:space="preserve"> </v>
      </c>
      <c r="AB59" s="114" t="str">
        <f t="shared" si="39"/>
        <v xml:space="preserve"> </v>
      </c>
      <c r="AC59" s="4" t="str">
        <f>IF(AB59=(PC+3)," ",(IF(AB59=" "," ",AB59+1)))</f>
        <v xml:space="preserve"> </v>
      </c>
    </row>
    <row r="60" spans="1:30" x14ac:dyDescent="0.3">
      <c r="A60" s="85" t="s">
        <v>44</v>
      </c>
      <c r="B60" s="85"/>
      <c r="C60" s="86"/>
      <c r="D60" s="86"/>
      <c r="E60" s="86">
        <f t="shared" ref="E60:AB60" si="40">IF(E59=" ", " ", (IF(E59&gt;=rn, 1/(1+i)^(E59-rn)," ")))</f>
        <v>1</v>
      </c>
      <c r="F60" s="86">
        <f t="shared" si="40"/>
        <v>0.95238095238095233</v>
      </c>
      <c r="G60" s="86">
        <f t="shared" si="40"/>
        <v>0.90702947845804982</v>
      </c>
      <c r="H60" s="86">
        <f t="shared" si="40"/>
        <v>0.86383759853147601</v>
      </c>
      <c r="I60" s="86">
        <f t="shared" si="40"/>
        <v>0.82270247479188197</v>
      </c>
      <c r="J60" s="86">
        <f t="shared" si="40"/>
        <v>0.78352616646845896</v>
      </c>
      <c r="K60" s="86">
        <f t="shared" si="40"/>
        <v>0.74621539663662761</v>
      </c>
      <c r="L60" s="86">
        <f t="shared" si="40"/>
        <v>0.71068133013012147</v>
      </c>
      <c r="M60" s="86">
        <f t="shared" si="40"/>
        <v>0.67683936202868722</v>
      </c>
      <c r="N60" s="86">
        <f t="shared" si="40"/>
        <v>0.64460891621779726</v>
      </c>
      <c r="O60" s="86">
        <f t="shared" si="40"/>
        <v>0.61391325354075932</v>
      </c>
      <c r="P60" s="86" t="str">
        <f t="shared" si="40"/>
        <v xml:space="preserve"> </v>
      </c>
      <c r="Q60" s="86" t="str">
        <f t="shared" si="40"/>
        <v xml:space="preserve"> </v>
      </c>
      <c r="R60" s="86" t="str">
        <f t="shared" si="40"/>
        <v xml:space="preserve"> </v>
      </c>
      <c r="S60" s="86" t="str">
        <f t="shared" si="40"/>
        <v xml:space="preserve"> </v>
      </c>
      <c r="T60" s="86" t="str">
        <f t="shared" si="40"/>
        <v xml:space="preserve"> </v>
      </c>
      <c r="U60" s="86" t="str">
        <f t="shared" si="40"/>
        <v xml:space="preserve"> </v>
      </c>
      <c r="V60" s="86" t="str">
        <f t="shared" si="40"/>
        <v xml:space="preserve"> </v>
      </c>
      <c r="W60" s="86" t="str">
        <f t="shared" si="40"/>
        <v xml:space="preserve"> </v>
      </c>
      <c r="X60" s="86" t="str">
        <f t="shared" si="40"/>
        <v xml:space="preserve"> </v>
      </c>
      <c r="Y60" s="86" t="str">
        <f t="shared" si="40"/>
        <v xml:space="preserve"> </v>
      </c>
      <c r="Z60" s="86" t="str">
        <f t="shared" si="40"/>
        <v xml:space="preserve"> </v>
      </c>
      <c r="AA60" s="86" t="str">
        <f t="shared" si="40"/>
        <v xml:space="preserve"> </v>
      </c>
      <c r="AB60" s="86" t="str">
        <f t="shared" si="40"/>
        <v xml:space="preserve"> </v>
      </c>
      <c r="AC60" s="58"/>
    </row>
    <row r="61" spans="1:30" x14ac:dyDescent="0.3">
      <c r="A61" s="87" t="s">
        <v>27</v>
      </c>
      <c r="B61" s="87"/>
      <c r="C61" s="88" t="str">
        <f t="shared" ref="C61:D61" si="41">" "</f>
        <v xml:space="preserve"> </v>
      </c>
      <c r="D61" s="88" t="str">
        <f t="shared" si="41"/>
        <v xml:space="preserve"> </v>
      </c>
      <c r="E61" s="88" t="str">
        <f>" "</f>
        <v xml:space="preserve"> </v>
      </c>
      <c r="F61" s="88" t="str">
        <f t="shared" ref="F61:AB61" si="42">" "</f>
        <v xml:space="preserve"> </v>
      </c>
      <c r="G61" s="88" t="str">
        <f t="shared" si="42"/>
        <v xml:space="preserve"> </v>
      </c>
      <c r="H61" s="88" t="str">
        <f t="shared" si="42"/>
        <v xml:space="preserve"> </v>
      </c>
      <c r="I61" s="88" t="str">
        <f t="shared" si="42"/>
        <v xml:space="preserve"> </v>
      </c>
      <c r="J61" s="88" t="str">
        <f t="shared" si="42"/>
        <v xml:space="preserve"> </v>
      </c>
      <c r="K61" s="88" t="str">
        <f t="shared" si="42"/>
        <v xml:space="preserve"> </v>
      </c>
      <c r="L61" s="88" t="str">
        <f t="shared" si="42"/>
        <v xml:space="preserve"> </v>
      </c>
      <c r="M61" s="88" t="str">
        <f t="shared" si="42"/>
        <v xml:space="preserve"> </v>
      </c>
      <c r="N61" s="88" t="str">
        <f t="shared" si="42"/>
        <v xml:space="preserve"> </v>
      </c>
      <c r="O61" s="88" t="str">
        <f t="shared" si="42"/>
        <v xml:space="preserve"> </v>
      </c>
      <c r="P61" s="88" t="str">
        <f t="shared" si="42"/>
        <v xml:space="preserve"> </v>
      </c>
      <c r="Q61" s="88" t="str">
        <f t="shared" si="42"/>
        <v xml:space="preserve"> </v>
      </c>
      <c r="R61" s="88" t="str">
        <f t="shared" si="42"/>
        <v xml:space="preserve"> </v>
      </c>
      <c r="S61" s="88" t="str">
        <f t="shared" si="42"/>
        <v xml:space="preserve"> </v>
      </c>
      <c r="T61" s="88" t="str">
        <f t="shared" si="42"/>
        <v xml:space="preserve"> </v>
      </c>
      <c r="U61" s="88" t="str">
        <f t="shared" si="42"/>
        <v xml:space="preserve"> </v>
      </c>
      <c r="V61" s="88" t="str">
        <f t="shared" si="42"/>
        <v xml:space="preserve"> </v>
      </c>
      <c r="W61" s="88" t="str">
        <f t="shared" si="42"/>
        <v xml:space="preserve"> </v>
      </c>
      <c r="X61" s="88" t="str">
        <f t="shared" si="42"/>
        <v xml:space="preserve"> </v>
      </c>
      <c r="Y61" s="88" t="str">
        <f t="shared" si="42"/>
        <v xml:space="preserve"> </v>
      </c>
      <c r="Z61" s="88" t="str">
        <f t="shared" si="42"/>
        <v xml:space="preserve"> </v>
      </c>
      <c r="AA61" s="88" t="str">
        <f t="shared" si="42"/>
        <v xml:space="preserve"> </v>
      </c>
      <c r="AB61" s="88" t="str">
        <f t="shared" si="42"/>
        <v xml:space="preserve"> </v>
      </c>
    </row>
    <row r="62" spans="1:30" x14ac:dyDescent="0.3">
      <c r="A62" s="87" t="s">
        <v>51</v>
      </c>
      <c r="B62" s="88" t="str">
        <f t="shared" ref="B62" si="43">IF(B60=" "," ", (IF(A59=on, H,(IF(B58=PC+1, S, " ")))))</f>
        <v xml:space="preserve"> </v>
      </c>
      <c r="C62" s="88" t="str">
        <f t="shared" ref="C62:AB62" si="44">IF(C60=" "," ", (IF(B59=on, -H+S," ")))</f>
        <v xml:space="preserve"> </v>
      </c>
      <c r="D62" s="88" t="str">
        <f t="shared" si="44"/>
        <v xml:space="preserve"> </v>
      </c>
      <c r="E62" s="88">
        <f t="shared" si="44"/>
        <v>-420</v>
      </c>
      <c r="F62" s="88" t="str">
        <f t="shared" si="44"/>
        <v xml:space="preserve"> </v>
      </c>
      <c r="G62" s="88" t="str">
        <f t="shared" si="44"/>
        <v xml:space="preserve"> </v>
      </c>
      <c r="H62" s="88" t="str">
        <f t="shared" si="44"/>
        <v xml:space="preserve"> </v>
      </c>
      <c r="I62" s="88" t="str">
        <f t="shared" si="44"/>
        <v xml:space="preserve"> </v>
      </c>
      <c r="J62" s="88" t="str">
        <f t="shared" si="44"/>
        <v xml:space="preserve"> </v>
      </c>
      <c r="K62" s="88" t="str">
        <f t="shared" si="44"/>
        <v xml:space="preserve"> </v>
      </c>
      <c r="L62" s="88" t="str">
        <f t="shared" si="44"/>
        <v xml:space="preserve"> </v>
      </c>
      <c r="M62" s="88" t="str">
        <f t="shared" si="44"/>
        <v xml:space="preserve"> </v>
      </c>
      <c r="N62" s="88" t="str">
        <f t="shared" si="44"/>
        <v xml:space="preserve"> </v>
      </c>
      <c r="O62" s="88" t="str">
        <f t="shared" si="44"/>
        <v xml:space="preserve"> </v>
      </c>
      <c r="P62" s="88" t="str">
        <f t="shared" si="44"/>
        <v xml:space="preserve"> </v>
      </c>
      <c r="Q62" s="88" t="str">
        <f t="shared" si="44"/>
        <v xml:space="preserve"> </v>
      </c>
      <c r="R62" s="88" t="str">
        <f t="shared" si="44"/>
        <v xml:space="preserve"> </v>
      </c>
      <c r="S62" s="88" t="str">
        <f t="shared" si="44"/>
        <v xml:space="preserve"> </v>
      </c>
      <c r="T62" s="88" t="str">
        <f t="shared" si="44"/>
        <v xml:space="preserve"> </v>
      </c>
      <c r="U62" s="88" t="str">
        <f t="shared" si="44"/>
        <v xml:space="preserve"> </v>
      </c>
      <c r="V62" s="88" t="str">
        <f t="shared" si="44"/>
        <v xml:space="preserve"> </v>
      </c>
      <c r="W62" s="88" t="str">
        <f t="shared" si="44"/>
        <v xml:space="preserve"> </v>
      </c>
      <c r="X62" s="88" t="str">
        <f t="shared" si="44"/>
        <v xml:space="preserve"> </v>
      </c>
      <c r="Y62" s="88" t="str">
        <f t="shared" si="44"/>
        <v xml:space="preserve"> </v>
      </c>
      <c r="Z62" s="88" t="str">
        <f t="shared" si="44"/>
        <v xml:space="preserve"> </v>
      </c>
      <c r="AA62" s="88" t="str">
        <f t="shared" si="44"/>
        <v xml:space="preserve"> </v>
      </c>
      <c r="AB62" s="88" t="str">
        <f t="shared" si="44"/>
        <v xml:space="preserve"> </v>
      </c>
    </row>
    <row r="63" spans="1:30" ht="15" thickBot="1" x14ac:dyDescent="0.35">
      <c r="A63" s="87" t="s">
        <v>52</v>
      </c>
      <c r="C63" s="89"/>
      <c r="D63" s="89"/>
      <c r="E63" s="89">
        <f>IF(E60=" "," ", (SUM(E61:E62)))</f>
        <v>-420</v>
      </c>
      <c r="F63" s="89">
        <f t="shared" ref="F63:AB63" si="45">IF(F60=" "," ", (SUM(F61:F62)))</f>
        <v>0</v>
      </c>
      <c r="G63" s="89">
        <f t="shared" si="45"/>
        <v>0</v>
      </c>
      <c r="H63" s="89">
        <f t="shared" si="45"/>
        <v>0</v>
      </c>
      <c r="I63" s="89">
        <f t="shared" si="45"/>
        <v>0</v>
      </c>
      <c r="J63" s="89">
        <f t="shared" si="45"/>
        <v>0</v>
      </c>
      <c r="K63" s="89">
        <f t="shared" si="45"/>
        <v>0</v>
      </c>
      <c r="L63" s="89">
        <f t="shared" si="45"/>
        <v>0</v>
      </c>
      <c r="M63" s="89">
        <f t="shared" si="45"/>
        <v>0</v>
      </c>
      <c r="N63" s="89">
        <f t="shared" si="45"/>
        <v>0</v>
      </c>
      <c r="O63" s="89">
        <f t="shared" si="45"/>
        <v>0</v>
      </c>
      <c r="P63" s="89" t="str">
        <f t="shared" si="45"/>
        <v xml:space="preserve"> </v>
      </c>
      <c r="Q63" s="89" t="str">
        <f t="shared" si="45"/>
        <v xml:space="preserve"> </v>
      </c>
      <c r="R63" s="89" t="str">
        <f t="shared" si="45"/>
        <v xml:space="preserve"> </v>
      </c>
      <c r="S63" s="89" t="str">
        <f t="shared" si="45"/>
        <v xml:space="preserve"> </v>
      </c>
      <c r="T63" s="89" t="str">
        <f t="shared" si="45"/>
        <v xml:space="preserve"> </v>
      </c>
      <c r="U63" s="89" t="str">
        <f t="shared" si="45"/>
        <v xml:space="preserve"> </v>
      </c>
      <c r="V63" s="89" t="str">
        <f t="shared" si="45"/>
        <v xml:space="preserve"> </v>
      </c>
      <c r="W63" s="89" t="str">
        <f t="shared" si="45"/>
        <v xml:space="preserve"> </v>
      </c>
      <c r="X63" s="89" t="str">
        <f t="shared" si="45"/>
        <v xml:space="preserve"> </v>
      </c>
      <c r="Y63" s="89" t="str">
        <f t="shared" si="45"/>
        <v xml:space="preserve"> </v>
      </c>
      <c r="Z63" s="89" t="str">
        <f t="shared" si="45"/>
        <v xml:space="preserve"> </v>
      </c>
      <c r="AA63" s="89" t="str">
        <f t="shared" si="45"/>
        <v xml:space="preserve"> </v>
      </c>
      <c r="AB63" s="89" t="str">
        <f t="shared" si="45"/>
        <v xml:space="preserve"> </v>
      </c>
    </row>
    <row r="64" spans="1:30" ht="15" thickBot="1" x14ac:dyDescent="0.35">
      <c r="A64" s="85" t="s">
        <v>46</v>
      </c>
      <c r="B64" s="68"/>
      <c r="C64" s="90"/>
      <c r="D64" s="90"/>
      <c r="E64" s="90">
        <f>IF(E60=" "," ", (E63*E60))</f>
        <v>-420</v>
      </c>
      <c r="F64" s="90">
        <f t="shared" ref="F64:AB64" si="46">IF(F60=" "," ", (F63*F60))</f>
        <v>0</v>
      </c>
      <c r="G64" s="90">
        <f t="shared" si="46"/>
        <v>0</v>
      </c>
      <c r="H64" s="90">
        <f t="shared" si="46"/>
        <v>0</v>
      </c>
      <c r="I64" s="90">
        <f t="shared" si="46"/>
        <v>0</v>
      </c>
      <c r="J64" s="90">
        <f t="shared" si="46"/>
        <v>0</v>
      </c>
      <c r="K64" s="90">
        <f t="shared" si="46"/>
        <v>0</v>
      </c>
      <c r="L64" s="90">
        <f t="shared" si="46"/>
        <v>0</v>
      </c>
      <c r="M64" s="90">
        <f t="shared" si="46"/>
        <v>0</v>
      </c>
      <c r="N64" s="90">
        <f t="shared" si="46"/>
        <v>0</v>
      </c>
      <c r="O64" s="90">
        <f t="shared" si="46"/>
        <v>0</v>
      </c>
      <c r="P64" s="90" t="str">
        <f t="shared" si="46"/>
        <v xml:space="preserve"> </v>
      </c>
      <c r="Q64" s="90" t="str">
        <f t="shared" si="46"/>
        <v xml:space="preserve"> </v>
      </c>
      <c r="R64" s="90" t="str">
        <f t="shared" si="46"/>
        <v xml:space="preserve"> </v>
      </c>
      <c r="S64" s="90" t="str">
        <f t="shared" si="46"/>
        <v xml:space="preserve"> </v>
      </c>
      <c r="T64" s="90" t="str">
        <f t="shared" si="46"/>
        <v xml:space="preserve"> </v>
      </c>
      <c r="U64" s="90" t="str">
        <f t="shared" si="46"/>
        <v xml:space="preserve"> </v>
      </c>
      <c r="V64" s="90" t="str">
        <f t="shared" si="46"/>
        <v xml:space="preserve"> </v>
      </c>
      <c r="W64" s="90" t="str">
        <f t="shared" si="46"/>
        <v xml:space="preserve"> </v>
      </c>
      <c r="X64" s="90" t="str">
        <f t="shared" si="46"/>
        <v xml:space="preserve"> </v>
      </c>
      <c r="Y64" s="90" t="str">
        <f t="shared" si="46"/>
        <v xml:space="preserve"> </v>
      </c>
      <c r="Z64" s="90" t="str">
        <f t="shared" si="46"/>
        <v xml:space="preserve"> </v>
      </c>
      <c r="AA64" s="90" t="str">
        <f t="shared" si="46"/>
        <v xml:space="preserve"> </v>
      </c>
      <c r="AB64" s="90" t="str">
        <f t="shared" si="46"/>
        <v xml:space="preserve"> </v>
      </c>
      <c r="AC64" s="2">
        <f>SUM(C64:AB64)</f>
        <v>-420</v>
      </c>
      <c r="AD64" s="91" t="s">
        <v>123</v>
      </c>
    </row>
    <row r="65" spans="1:30" x14ac:dyDescent="0.3">
      <c r="A65" s="87"/>
      <c r="B65" s="87"/>
      <c r="C65" s="112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1:30" s="68" customFormat="1" x14ac:dyDescent="0.3">
      <c r="A66" s="69" t="s">
        <v>55</v>
      </c>
      <c r="B66" s="109"/>
      <c r="C66" s="110"/>
      <c r="H66" s="10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</row>
    <row r="67" spans="1:30" x14ac:dyDescent="0.3">
      <c r="A67" s="111" t="s">
        <v>50</v>
      </c>
      <c r="B67" s="111"/>
      <c r="C67" s="117">
        <f>C68+1</f>
        <v>1</v>
      </c>
      <c r="D67" s="117">
        <f t="shared" ref="D67" si="47">D68+1</f>
        <v>2</v>
      </c>
      <c r="E67" s="117">
        <f t="shared" ref="E67:AB67" si="48">IF(rn=E68, 2, D67+1)</f>
        <v>2</v>
      </c>
      <c r="F67" s="117">
        <f t="shared" si="48"/>
        <v>3</v>
      </c>
      <c r="G67" s="117">
        <f t="shared" si="48"/>
        <v>4</v>
      </c>
      <c r="H67" s="117">
        <f t="shared" si="48"/>
        <v>5</v>
      </c>
      <c r="I67" s="117">
        <f t="shared" si="48"/>
        <v>6</v>
      </c>
      <c r="J67" s="117">
        <f t="shared" si="48"/>
        <v>7</v>
      </c>
      <c r="K67" s="117">
        <f t="shared" si="48"/>
        <v>8</v>
      </c>
      <c r="L67" s="117">
        <f t="shared" si="48"/>
        <v>9</v>
      </c>
      <c r="M67" s="117">
        <f t="shared" si="48"/>
        <v>10</v>
      </c>
      <c r="N67" s="117">
        <f t="shared" si="48"/>
        <v>11</v>
      </c>
      <c r="O67" s="117">
        <f t="shared" si="48"/>
        <v>12</v>
      </c>
      <c r="P67" s="117">
        <f t="shared" si="48"/>
        <v>13</v>
      </c>
      <c r="Q67" s="117">
        <f t="shared" si="48"/>
        <v>14</v>
      </c>
      <c r="R67" s="117">
        <f t="shared" si="48"/>
        <v>15</v>
      </c>
      <c r="S67" s="117">
        <f t="shared" si="48"/>
        <v>16</v>
      </c>
      <c r="T67" s="117">
        <f t="shared" si="48"/>
        <v>17</v>
      </c>
      <c r="U67" s="117">
        <f t="shared" si="48"/>
        <v>18</v>
      </c>
      <c r="V67" s="117">
        <f t="shared" si="48"/>
        <v>19</v>
      </c>
      <c r="W67" s="117">
        <f t="shared" si="48"/>
        <v>20</v>
      </c>
      <c r="X67" s="117">
        <f t="shared" si="48"/>
        <v>21</v>
      </c>
      <c r="Y67" s="117">
        <f t="shared" si="48"/>
        <v>22</v>
      </c>
      <c r="Z67" s="117">
        <f t="shared" si="48"/>
        <v>23</v>
      </c>
      <c r="AA67" s="117">
        <f t="shared" si="48"/>
        <v>24</v>
      </c>
      <c r="AB67" s="117">
        <f t="shared" si="48"/>
        <v>25</v>
      </c>
      <c r="AC67" s="58"/>
    </row>
    <row r="68" spans="1:30" x14ac:dyDescent="0.3">
      <c r="A68" s="85" t="s">
        <v>43</v>
      </c>
      <c r="B68" s="85"/>
      <c r="C68" s="114">
        <v>0</v>
      </c>
      <c r="D68" s="114">
        <f t="shared" ref="D68:AB68" si="49">IF(C68=(PC+rn)," ",(IF(C68=" "," ",C68+1)))</f>
        <v>1</v>
      </c>
      <c r="E68" s="114">
        <f t="shared" si="49"/>
        <v>2</v>
      </c>
      <c r="F68" s="114">
        <f t="shared" si="49"/>
        <v>3</v>
      </c>
      <c r="G68" s="114">
        <f t="shared" si="49"/>
        <v>4</v>
      </c>
      <c r="H68" s="114">
        <f t="shared" si="49"/>
        <v>5</v>
      </c>
      <c r="I68" s="114">
        <f t="shared" si="49"/>
        <v>6</v>
      </c>
      <c r="J68" s="114">
        <f t="shared" si="49"/>
        <v>7</v>
      </c>
      <c r="K68" s="114">
        <f t="shared" si="49"/>
        <v>8</v>
      </c>
      <c r="L68" s="114">
        <f t="shared" si="49"/>
        <v>9</v>
      </c>
      <c r="M68" s="114">
        <f t="shared" si="49"/>
        <v>10</v>
      </c>
      <c r="N68" s="114">
        <f t="shared" si="49"/>
        <v>11</v>
      </c>
      <c r="O68" s="114">
        <f t="shared" si="49"/>
        <v>12</v>
      </c>
      <c r="P68" s="114" t="str">
        <f t="shared" si="49"/>
        <v xml:space="preserve"> </v>
      </c>
      <c r="Q68" s="114" t="str">
        <f t="shared" si="49"/>
        <v xml:space="preserve"> </v>
      </c>
      <c r="R68" s="114" t="str">
        <f t="shared" si="49"/>
        <v xml:space="preserve"> </v>
      </c>
      <c r="S68" s="114" t="str">
        <f t="shared" si="49"/>
        <v xml:space="preserve"> </v>
      </c>
      <c r="T68" s="114" t="str">
        <f t="shared" si="49"/>
        <v xml:space="preserve"> </v>
      </c>
      <c r="U68" s="114" t="str">
        <f t="shared" si="49"/>
        <v xml:space="preserve"> </v>
      </c>
      <c r="V68" s="114" t="str">
        <f t="shared" si="49"/>
        <v xml:space="preserve"> </v>
      </c>
      <c r="W68" s="114" t="str">
        <f t="shared" si="49"/>
        <v xml:space="preserve"> </v>
      </c>
      <c r="X68" s="114" t="str">
        <f t="shared" si="49"/>
        <v xml:space="preserve"> </v>
      </c>
      <c r="Y68" s="114" t="str">
        <f t="shared" si="49"/>
        <v xml:space="preserve"> </v>
      </c>
      <c r="Z68" s="114" t="str">
        <f t="shared" si="49"/>
        <v xml:space="preserve"> </v>
      </c>
      <c r="AA68" s="114" t="str">
        <f t="shared" si="49"/>
        <v xml:space="preserve"> </v>
      </c>
      <c r="AB68" s="114" t="str">
        <f t="shared" si="49"/>
        <v xml:space="preserve"> </v>
      </c>
      <c r="AC68" s="4" t="str">
        <f>IF(AB68=(PC+3)," ",(IF(AB68=" "," ",AB68+1)))</f>
        <v xml:space="preserve"> </v>
      </c>
    </row>
    <row r="69" spans="1:30" x14ac:dyDescent="0.3">
      <c r="A69" s="85" t="s">
        <v>44</v>
      </c>
      <c r="B69" s="85"/>
      <c r="C69" s="86"/>
      <c r="D69" s="86"/>
      <c r="E69" s="86">
        <f t="shared" ref="E69:AB69" si="50">IF(E68=" ", " ", (IF(E68&gt;=rn, 1/(1+i)^(E68-rn)," ")))</f>
        <v>1</v>
      </c>
      <c r="F69" s="86">
        <f t="shared" si="50"/>
        <v>0.95238095238095233</v>
      </c>
      <c r="G69" s="86">
        <f t="shared" si="50"/>
        <v>0.90702947845804982</v>
      </c>
      <c r="H69" s="86">
        <f t="shared" si="50"/>
        <v>0.86383759853147601</v>
      </c>
      <c r="I69" s="86">
        <f t="shared" si="50"/>
        <v>0.82270247479188197</v>
      </c>
      <c r="J69" s="86">
        <f t="shared" si="50"/>
        <v>0.78352616646845896</v>
      </c>
      <c r="K69" s="86">
        <f t="shared" si="50"/>
        <v>0.74621539663662761</v>
      </c>
      <c r="L69" s="86">
        <f t="shared" si="50"/>
        <v>0.71068133013012147</v>
      </c>
      <c r="M69" s="86">
        <f t="shared" si="50"/>
        <v>0.67683936202868722</v>
      </c>
      <c r="N69" s="86">
        <f t="shared" si="50"/>
        <v>0.64460891621779726</v>
      </c>
      <c r="O69" s="86">
        <f t="shared" si="50"/>
        <v>0.61391325354075932</v>
      </c>
      <c r="P69" s="86" t="str">
        <f t="shared" si="50"/>
        <v xml:space="preserve"> </v>
      </c>
      <c r="Q69" s="86" t="str">
        <f t="shared" si="50"/>
        <v xml:space="preserve"> </v>
      </c>
      <c r="R69" s="86" t="str">
        <f t="shared" si="50"/>
        <v xml:space="preserve"> </v>
      </c>
      <c r="S69" s="86" t="str">
        <f t="shared" si="50"/>
        <v xml:space="preserve"> </v>
      </c>
      <c r="T69" s="86" t="str">
        <f t="shared" si="50"/>
        <v xml:space="preserve"> </v>
      </c>
      <c r="U69" s="86" t="str">
        <f t="shared" si="50"/>
        <v xml:space="preserve"> </v>
      </c>
      <c r="V69" s="86" t="str">
        <f t="shared" si="50"/>
        <v xml:space="preserve"> </v>
      </c>
      <c r="W69" s="86" t="str">
        <f t="shared" si="50"/>
        <v xml:space="preserve"> </v>
      </c>
      <c r="X69" s="86" t="str">
        <f t="shared" si="50"/>
        <v xml:space="preserve"> </v>
      </c>
      <c r="Y69" s="86" t="str">
        <f t="shared" si="50"/>
        <v xml:space="preserve"> </v>
      </c>
      <c r="Z69" s="86" t="str">
        <f t="shared" si="50"/>
        <v xml:space="preserve"> </v>
      </c>
      <c r="AA69" s="86" t="str">
        <f t="shared" si="50"/>
        <v xml:space="preserve"> </v>
      </c>
      <c r="AB69" s="86" t="str">
        <f t="shared" si="50"/>
        <v xml:space="preserve"> </v>
      </c>
      <c r="AC69" s="58"/>
    </row>
    <row r="70" spans="1:30" x14ac:dyDescent="0.3">
      <c r="A70" s="87" t="s">
        <v>27</v>
      </c>
      <c r="B70" s="87"/>
      <c r="C70" s="112"/>
      <c r="D70" s="88" t="str">
        <f t="shared" ref="D70:E70" si="51">" "</f>
        <v xml:space="preserve"> </v>
      </c>
      <c r="E70" s="88" t="str">
        <f t="shared" si="51"/>
        <v xml:space="preserve"> </v>
      </c>
      <c r="F70" s="88" t="str">
        <f>" "</f>
        <v xml:space="preserve"> </v>
      </c>
      <c r="G70" s="88" t="str">
        <f t="shared" ref="G70:AB70" si="52">" "</f>
        <v xml:space="preserve"> </v>
      </c>
      <c r="H70" s="88" t="str">
        <f t="shared" si="52"/>
        <v xml:space="preserve"> </v>
      </c>
      <c r="I70" s="88" t="str">
        <f t="shared" si="52"/>
        <v xml:space="preserve"> </v>
      </c>
      <c r="J70" s="88" t="str">
        <f t="shared" si="52"/>
        <v xml:space="preserve"> </v>
      </c>
      <c r="K70" s="88" t="str">
        <f t="shared" si="52"/>
        <v xml:space="preserve"> </v>
      </c>
      <c r="L70" s="88" t="str">
        <f t="shared" si="52"/>
        <v xml:space="preserve"> </v>
      </c>
      <c r="M70" s="88" t="str">
        <f t="shared" si="52"/>
        <v xml:space="preserve"> </v>
      </c>
      <c r="N70" s="88" t="str">
        <f t="shared" si="52"/>
        <v xml:space="preserve"> </v>
      </c>
      <c r="O70" s="88" t="str">
        <f t="shared" si="52"/>
        <v xml:space="preserve"> </v>
      </c>
      <c r="P70" s="88" t="str">
        <f t="shared" si="52"/>
        <v xml:space="preserve"> </v>
      </c>
      <c r="Q70" s="88" t="str">
        <f t="shared" si="52"/>
        <v xml:space="preserve"> </v>
      </c>
      <c r="R70" s="88" t="str">
        <f t="shared" si="52"/>
        <v xml:space="preserve"> </v>
      </c>
      <c r="S70" s="88" t="str">
        <f t="shared" si="52"/>
        <v xml:space="preserve"> </v>
      </c>
      <c r="T70" s="88" t="str">
        <f t="shared" si="52"/>
        <v xml:space="preserve"> </v>
      </c>
      <c r="U70" s="88" t="str">
        <f t="shared" si="52"/>
        <v xml:space="preserve"> </v>
      </c>
      <c r="V70" s="88" t="str">
        <f t="shared" si="52"/>
        <v xml:space="preserve"> </v>
      </c>
      <c r="W70" s="88" t="str">
        <f t="shared" si="52"/>
        <v xml:space="preserve"> </v>
      </c>
      <c r="X70" s="88" t="str">
        <f t="shared" si="52"/>
        <v xml:space="preserve"> </v>
      </c>
      <c r="Y70" s="88" t="str">
        <f t="shared" si="52"/>
        <v xml:space="preserve"> </v>
      </c>
      <c r="Z70" s="88" t="str">
        <f t="shared" si="52"/>
        <v xml:space="preserve"> </v>
      </c>
      <c r="AA70" s="88" t="str">
        <f t="shared" si="52"/>
        <v xml:space="preserve"> </v>
      </c>
      <c r="AB70" s="88" t="str">
        <f t="shared" si="52"/>
        <v xml:space="preserve"> </v>
      </c>
    </row>
    <row r="71" spans="1:30" x14ac:dyDescent="0.3">
      <c r="A71" s="87" t="s">
        <v>51</v>
      </c>
      <c r="B71" s="88" t="str">
        <f t="shared" ref="B71" si="53">IF(B69=" "," ", (IF(A68=on, H,(IF(B67=PC+1, S, " ")))))</f>
        <v xml:space="preserve"> </v>
      </c>
      <c r="C71" s="88" t="str">
        <f t="shared" ref="C71:AB71" si="54">IF(C69=" "," ", (IF(B68=on, -H, " ")))</f>
        <v xml:space="preserve"> </v>
      </c>
      <c r="D71" s="88" t="str">
        <f t="shared" si="54"/>
        <v xml:space="preserve"> </v>
      </c>
      <c r="E71" s="88">
        <f t="shared" si="54"/>
        <v>-1500</v>
      </c>
      <c r="F71" s="88" t="str">
        <f t="shared" si="54"/>
        <v xml:space="preserve"> </v>
      </c>
      <c r="G71" s="88" t="str">
        <f t="shared" si="54"/>
        <v xml:space="preserve"> </v>
      </c>
      <c r="H71" s="88" t="str">
        <f t="shared" si="54"/>
        <v xml:space="preserve"> </v>
      </c>
      <c r="I71" s="88" t="str">
        <f t="shared" si="54"/>
        <v xml:space="preserve"> </v>
      </c>
      <c r="J71" s="88" t="str">
        <f t="shared" si="54"/>
        <v xml:space="preserve"> </v>
      </c>
      <c r="K71" s="88" t="str">
        <f t="shared" si="54"/>
        <v xml:space="preserve"> </v>
      </c>
      <c r="L71" s="88" t="str">
        <f t="shared" si="54"/>
        <v xml:space="preserve"> </v>
      </c>
      <c r="M71" s="88" t="str">
        <f t="shared" si="54"/>
        <v xml:space="preserve"> </v>
      </c>
      <c r="N71" s="88" t="str">
        <f t="shared" si="54"/>
        <v xml:space="preserve"> </v>
      </c>
      <c r="O71" s="88" t="str">
        <f t="shared" si="54"/>
        <v xml:space="preserve"> </v>
      </c>
      <c r="P71" s="88" t="str">
        <f t="shared" si="54"/>
        <v xml:space="preserve"> </v>
      </c>
      <c r="Q71" s="88" t="str">
        <f t="shared" si="54"/>
        <v xml:space="preserve"> </v>
      </c>
      <c r="R71" s="88" t="str">
        <f t="shared" si="54"/>
        <v xml:space="preserve"> </v>
      </c>
      <c r="S71" s="88" t="str">
        <f t="shared" si="54"/>
        <v xml:space="preserve"> </v>
      </c>
      <c r="T71" s="88" t="str">
        <f t="shared" si="54"/>
        <v xml:space="preserve"> </v>
      </c>
      <c r="U71" s="88" t="str">
        <f t="shared" si="54"/>
        <v xml:space="preserve"> </v>
      </c>
      <c r="V71" s="88" t="str">
        <f t="shared" si="54"/>
        <v xml:space="preserve"> </v>
      </c>
      <c r="W71" s="88" t="str">
        <f t="shared" si="54"/>
        <v xml:space="preserve"> </v>
      </c>
      <c r="X71" s="88" t="str">
        <f t="shared" si="54"/>
        <v xml:space="preserve"> </v>
      </c>
      <c r="Y71" s="88" t="str">
        <f t="shared" si="54"/>
        <v xml:space="preserve"> </v>
      </c>
      <c r="Z71" s="88" t="str">
        <f t="shared" si="54"/>
        <v xml:space="preserve"> </v>
      </c>
      <c r="AA71" s="88" t="str">
        <f t="shared" si="54"/>
        <v xml:space="preserve"> </v>
      </c>
      <c r="AB71" s="88" t="str">
        <f t="shared" si="54"/>
        <v xml:space="preserve"> </v>
      </c>
    </row>
    <row r="72" spans="1:30" ht="15" thickBot="1" x14ac:dyDescent="0.35">
      <c r="A72" s="87" t="s">
        <v>52</v>
      </c>
      <c r="C72" s="89"/>
      <c r="D72" s="89"/>
      <c r="E72" s="89">
        <f>IF(E69=" "," ", (SUM(E70:E71)))</f>
        <v>-1500</v>
      </c>
      <c r="F72" s="89">
        <f t="shared" ref="F72:AB72" si="55">IF(F69=" "," ", (SUM(F70:F71)))</f>
        <v>0</v>
      </c>
      <c r="G72" s="89">
        <f t="shared" si="55"/>
        <v>0</v>
      </c>
      <c r="H72" s="89">
        <f t="shared" si="55"/>
        <v>0</v>
      </c>
      <c r="I72" s="89">
        <f t="shared" si="55"/>
        <v>0</v>
      </c>
      <c r="J72" s="89">
        <f t="shared" si="55"/>
        <v>0</v>
      </c>
      <c r="K72" s="89">
        <f t="shared" si="55"/>
        <v>0</v>
      </c>
      <c r="L72" s="89">
        <f t="shared" si="55"/>
        <v>0</v>
      </c>
      <c r="M72" s="89">
        <f t="shared" si="55"/>
        <v>0</v>
      </c>
      <c r="N72" s="89">
        <f t="shared" si="55"/>
        <v>0</v>
      </c>
      <c r="O72" s="89">
        <f t="shared" si="55"/>
        <v>0</v>
      </c>
      <c r="P72" s="89" t="str">
        <f t="shared" si="55"/>
        <v xml:space="preserve"> </v>
      </c>
      <c r="Q72" s="89" t="str">
        <f t="shared" si="55"/>
        <v xml:space="preserve"> </v>
      </c>
      <c r="R72" s="89" t="str">
        <f t="shared" si="55"/>
        <v xml:space="preserve"> </v>
      </c>
      <c r="S72" s="89" t="str">
        <f t="shared" si="55"/>
        <v xml:space="preserve"> </v>
      </c>
      <c r="T72" s="89" t="str">
        <f t="shared" si="55"/>
        <v xml:space="preserve"> </v>
      </c>
      <c r="U72" s="89" t="str">
        <f t="shared" si="55"/>
        <v xml:space="preserve"> </v>
      </c>
      <c r="V72" s="89" t="str">
        <f t="shared" si="55"/>
        <v xml:space="preserve"> </v>
      </c>
      <c r="W72" s="89" t="str">
        <f t="shared" si="55"/>
        <v xml:space="preserve"> </v>
      </c>
      <c r="X72" s="89" t="str">
        <f t="shared" si="55"/>
        <v xml:space="preserve"> </v>
      </c>
      <c r="Y72" s="89" t="str">
        <f t="shared" si="55"/>
        <v xml:space="preserve"> </v>
      </c>
      <c r="Z72" s="89" t="str">
        <f t="shared" si="55"/>
        <v xml:space="preserve"> </v>
      </c>
      <c r="AA72" s="89" t="str">
        <f t="shared" si="55"/>
        <v xml:space="preserve"> </v>
      </c>
      <c r="AB72" s="89" t="str">
        <f t="shared" si="55"/>
        <v xml:space="preserve"> </v>
      </c>
    </row>
    <row r="73" spans="1:30" ht="15" thickBot="1" x14ac:dyDescent="0.35">
      <c r="A73" s="85" t="s">
        <v>46</v>
      </c>
      <c r="B73" s="68"/>
      <c r="C73" s="90"/>
      <c r="D73" s="90"/>
      <c r="E73" s="90">
        <f>IF(E69=" "," ", (E72*E69))</f>
        <v>-1500</v>
      </c>
      <c r="F73" s="90">
        <f t="shared" ref="F73:AB73" si="56">IF(F69=" "," ", (F72*F69))</f>
        <v>0</v>
      </c>
      <c r="G73" s="90">
        <f t="shared" si="56"/>
        <v>0</v>
      </c>
      <c r="H73" s="90">
        <f t="shared" si="56"/>
        <v>0</v>
      </c>
      <c r="I73" s="90">
        <f t="shared" si="56"/>
        <v>0</v>
      </c>
      <c r="J73" s="90">
        <f t="shared" si="56"/>
        <v>0</v>
      </c>
      <c r="K73" s="90">
        <f t="shared" si="56"/>
        <v>0</v>
      </c>
      <c r="L73" s="90">
        <f t="shared" si="56"/>
        <v>0</v>
      </c>
      <c r="M73" s="90">
        <f t="shared" si="56"/>
        <v>0</v>
      </c>
      <c r="N73" s="90">
        <f t="shared" si="56"/>
        <v>0</v>
      </c>
      <c r="O73" s="90">
        <f t="shared" si="56"/>
        <v>0</v>
      </c>
      <c r="P73" s="90" t="str">
        <f t="shared" si="56"/>
        <v xml:space="preserve"> </v>
      </c>
      <c r="Q73" s="90" t="str">
        <f t="shared" si="56"/>
        <v xml:space="preserve"> </v>
      </c>
      <c r="R73" s="90" t="str">
        <f t="shared" si="56"/>
        <v xml:space="preserve"> </v>
      </c>
      <c r="S73" s="90" t="str">
        <f t="shared" si="56"/>
        <v xml:space="preserve"> </v>
      </c>
      <c r="T73" s="90" t="str">
        <f t="shared" si="56"/>
        <v xml:space="preserve"> </v>
      </c>
      <c r="U73" s="90" t="str">
        <f t="shared" si="56"/>
        <v xml:space="preserve"> </v>
      </c>
      <c r="V73" s="90" t="str">
        <f t="shared" si="56"/>
        <v xml:space="preserve"> </v>
      </c>
      <c r="W73" s="90" t="str">
        <f t="shared" si="56"/>
        <v xml:space="preserve"> </v>
      </c>
      <c r="X73" s="90" t="str">
        <f t="shared" si="56"/>
        <v xml:space="preserve"> </v>
      </c>
      <c r="Y73" s="90" t="str">
        <f t="shared" si="56"/>
        <v xml:space="preserve"> </v>
      </c>
      <c r="Z73" s="90" t="str">
        <f t="shared" si="56"/>
        <v xml:space="preserve"> </v>
      </c>
      <c r="AA73" s="90" t="str">
        <f t="shared" si="56"/>
        <v xml:space="preserve"> </v>
      </c>
      <c r="AB73" s="90" t="str">
        <f t="shared" si="56"/>
        <v xml:space="preserve"> </v>
      </c>
      <c r="AC73" s="2">
        <f>SUM(C73:AB73)</f>
        <v>-1500</v>
      </c>
      <c r="AD73" s="91" t="s">
        <v>122</v>
      </c>
    </row>
    <row r="74" spans="1:30" x14ac:dyDescent="0.3">
      <c r="A74" s="87"/>
      <c r="B74" s="87"/>
      <c r="C74" s="89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1:30" x14ac:dyDescent="0.3">
      <c r="A75" s="87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</row>
    <row r="76" spans="1:30" x14ac:dyDescent="0.3">
      <c r="A76" s="87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92"/>
      <c r="Q76" s="42"/>
    </row>
    <row r="77" spans="1:30" x14ac:dyDescent="0.3">
      <c r="A77" s="6"/>
      <c r="D77" s="89"/>
      <c r="E77" s="89"/>
      <c r="F77" s="89"/>
      <c r="G77" s="89"/>
      <c r="H77" s="89"/>
      <c r="I77" s="89"/>
      <c r="J77" s="89"/>
      <c r="K77" s="89"/>
      <c r="L77" s="89"/>
      <c r="M77" s="89"/>
    </row>
    <row r="78" spans="1:30" x14ac:dyDescent="0.3">
      <c r="A78" s="87"/>
      <c r="B78" s="87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</row>
    <row r="79" spans="1:30" x14ac:dyDescent="0.3">
      <c r="A79" s="87"/>
      <c r="B79" s="87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</row>
    <row r="80" spans="1:30" x14ac:dyDescent="0.3">
      <c r="A80" s="87"/>
      <c r="B80" s="87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</row>
    <row r="81" spans="1:29" x14ac:dyDescent="0.3">
      <c r="A81" s="87"/>
      <c r="B81" s="87"/>
      <c r="C81" s="112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1:29" x14ac:dyDescent="0.3">
      <c r="A82" s="87"/>
      <c r="B82" s="87"/>
      <c r="C82" s="89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1:29" x14ac:dyDescent="0.3">
      <c r="A83" s="87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</row>
    <row r="84" spans="1:29" x14ac:dyDescent="0.3">
      <c r="A84" s="87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92"/>
      <c r="Q84" s="42"/>
    </row>
    <row r="85" spans="1:29" x14ac:dyDescent="0.3">
      <c r="A85" s="6"/>
      <c r="D85" s="89"/>
      <c r="E85" s="89"/>
      <c r="F85" s="89"/>
      <c r="G85" s="89"/>
      <c r="H85" s="89"/>
      <c r="I85" s="89"/>
      <c r="J85" s="89"/>
      <c r="K85" s="89"/>
      <c r="L85" s="89"/>
      <c r="M85" s="89"/>
    </row>
    <row r="86" spans="1:29" x14ac:dyDescent="0.3">
      <c r="A86" s="87"/>
      <c r="B86" s="87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</row>
    <row r="87" spans="1:29" x14ac:dyDescent="0.3">
      <c r="A87" s="87"/>
      <c r="B87" s="87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</row>
    <row r="88" spans="1:29" x14ac:dyDescent="0.3">
      <c r="A88" s="87"/>
      <c r="B88" s="87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</row>
    <row r="89" spans="1:29" x14ac:dyDescent="0.3">
      <c r="A89" s="87"/>
      <c r="B89" s="87"/>
      <c r="C89" s="112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1:29" x14ac:dyDescent="0.3">
      <c r="A90" s="87"/>
      <c r="B90" s="87"/>
      <c r="C90" s="89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1:29" x14ac:dyDescent="0.3">
      <c r="A91" s="87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</row>
    <row r="92" spans="1:29" x14ac:dyDescent="0.3">
      <c r="A92" s="87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92"/>
      <c r="Q92" s="42"/>
    </row>
    <row r="93" spans="1:29" x14ac:dyDescent="0.3">
      <c r="A93" s="6"/>
      <c r="D93" s="89"/>
      <c r="E93" s="89"/>
      <c r="F93" s="89"/>
      <c r="G93" s="89"/>
      <c r="H93" s="89"/>
      <c r="I93" s="89"/>
      <c r="J93" s="89"/>
      <c r="K93" s="89"/>
      <c r="L93" s="89"/>
      <c r="M93" s="89"/>
    </row>
    <row r="94" spans="1:29" x14ac:dyDescent="0.3">
      <c r="A94" s="87"/>
      <c r="B94" s="87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</row>
    <row r="95" spans="1:29" x14ac:dyDescent="0.3">
      <c r="A95" s="87"/>
      <c r="B95" s="87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</row>
    <row r="96" spans="1:29" x14ac:dyDescent="0.3">
      <c r="A96" s="87"/>
      <c r="B96" s="87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</row>
    <row r="97" spans="1:29" x14ac:dyDescent="0.3">
      <c r="A97" s="87"/>
      <c r="B97" s="87"/>
      <c r="C97" s="112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1:29" x14ac:dyDescent="0.3">
      <c r="A98" s="87"/>
      <c r="B98" s="87"/>
      <c r="C98" s="89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1:29" x14ac:dyDescent="0.3">
      <c r="A99" s="87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</row>
    <row r="100" spans="1:29" x14ac:dyDescent="0.3">
      <c r="A100" s="87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92"/>
      <c r="Q100" s="42"/>
    </row>
    <row r="101" spans="1:29" x14ac:dyDescent="0.3">
      <c r="A101" s="6"/>
      <c r="D101" s="89"/>
      <c r="E101" s="89"/>
      <c r="F101" s="89"/>
      <c r="G101" s="89"/>
      <c r="H101" s="89"/>
      <c r="I101" s="89"/>
      <c r="J101" s="89"/>
      <c r="K101" s="89"/>
      <c r="L101" s="89"/>
      <c r="M101" s="89"/>
    </row>
    <row r="102" spans="1:29" x14ac:dyDescent="0.3">
      <c r="A102" s="87"/>
      <c r="B102" s="87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</row>
    <row r="103" spans="1:29" x14ac:dyDescent="0.3">
      <c r="A103" s="87"/>
      <c r="B103" s="87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</row>
    <row r="104" spans="1:29" x14ac:dyDescent="0.3">
      <c r="A104" s="87"/>
      <c r="B104" s="87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</row>
    <row r="105" spans="1:29" x14ac:dyDescent="0.3">
      <c r="A105" s="87"/>
      <c r="B105" s="87"/>
      <c r="C105" s="112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1:29" x14ac:dyDescent="0.3">
      <c r="A106" s="87"/>
      <c r="B106" s="87"/>
      <c r="C106" s="89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1:29" x14ac:dyDescent="0.3">
      <c r="A107" s="87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</row>
    <row r="108" spans="1:29" x14ac:dyDescent="0.3">
      <c r="A108" s="87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92"/>
      <c r="Q108" s="42"/>
    </row>
    <row r="109" spans="1:29" ht="16.5" customHeight="1" x14ac:dyDescent="0.3">
      <c r="A109" s="6"/>
      <c r="D109" s="89"/>
      <c r="E109" s="89"/>
      <c r="F109" s="89"/>
      <c r="G109" s="89"/>
      <c r="H109" s="89"/>
      <c r="I109" s="89"/>
      <c r="J109" s="89"/>
      <c r="K109" s="89"/>
      <c r="L109" s="89"/>
      <c r="M109" s="89"/>
    </row>
    <row r="110" spans="1:29" x14ac:dyDescent="0.3">
      <c r="A110" s="87"/>
      <c r="B110" s="87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</row>
    <row r="111" spans="1:29" x14ac:dyDescent="0.3">
      <c r="A111" s="87"/>
      <c r="B111" s="87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</row>
    <row r="112" spans="1:29" x14ac:dyDescent="0.3">
      <c r="A112" s="87"/>
      <c r="B112" s="87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</row>
    <row r="113" spans="1:29" x14ac:dyDescent="0.3">
      <c r="A113" s="87"/>
      <c r="B113" s="87"/>
      <c r="C113" s="112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</row>
    <row r="114" spans="1:29" x14ac:dyDescent="0.3">
      <c r="A114" s="87"/>
      <c r="B114" s="87"/>
      <c r="C114" s="89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</row>
    <row r="115" spans="1:29" x14ac:dyDescent="0.3">
      <c r="A115" s="87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</row>
    <row r="116" spans="1:29" x14ac:dyDescent="0.3">
      <c r="A116" s="87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92"/>
      <c r="Q116" s="42"/>
    </row>
    <row r="117" spans="1:29" ht="16.5" customHeight="1" x14ac:dyDescent="0.3">
      <c r="A117" s="6"/>
      <c r="D117" s="89"/>
      <c r="E117" s="89"/>
      <c r="F117" s="89"/>
      <c r="G117" s="89"/>
      <c r="H117" s="89"/>
      <c r="I117" s="89"/>
      <c r="J117" s="89"/>
      <c r="K117" s="89"/>
      <c r="L117" s="89"/>
      <c r="M117" s="89"/>
    </row>
    <row r="118" spans="1:29" x14ac:dyDescent="0.3">
      <c r="A118" s="87"/>
      <c r="B118" s="87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</row>
    <row r="119" spans="1:29" x14ac:dyDescent="0.3">
      <c r="A119" s="87"/>
      <c r="B119" s="87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</row>
    <row r="120" spans="1:29" x14ac:dyDescent="0.3">
      <c r="A120" s="87"/>
      <c r="B120" s="87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</row>
    <row r="121" spans="1:29" x14ac:dyDescent="0.3">
      <c r="A121" s="87"/>
      <c r="B121" s="87"/>
      <c r="C121" s="112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</row>
    <row r="122" spans="1:29" x14ac:dyDescent="0.3">
      <c r="A122" s="87"/>
      <c r="B122" s="87"/>
      <c r="C122" s="89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</row>
    <row r="123" spans="1:29" x14ac:dyDescent="0.3">
      <c r="A123" s="87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</row>
    <row r="124" spans="1:29" x14ac:dyDescent="0.3">
      <c r="A124" s="87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92"/>
      <c r="Q124" s="42"/>
    </row>
    <row r="125" spans="1:29" ht="16.5" customHeight="1" x14ac:dyDescent="0.3">
      <c r="A125" s="6"/>
      <c r="D125" s="89"/>
      <c r="E125" s="89"/>
      <c r="F125" s="89"/>
      <c r="G125" s="89"/>
      <c r="H125" s="89"/>
      <c r="I125" s="89"/>
      <c r="J125" s="89"/>
      <c r="K125" s="89"/>
      <c r="L125" s="89"/>
      <c r="M125" s="89"/>
    </row>
    <row r="126" spans="1:29" x14ac:dyDescent="0.3">
      <c r="A126" s="87"/>
      <c r="B126" s="87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</row>
    <row r="127" spans="1:29" x14ac:dyDescent="0.3">
      <c r="A127" s="87"/>
      <c r="B127" s="87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</row>
    <row r="128" spans="1:29" x14ac:dyDescent="0.3">
      <c r="A128" s="87"/>
      <c r="B128" s="87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</row>
    <row r="129" spans="1:17" x14ac:dyDescent="0.3">
      <c r="A129" s="87"/>
      <c r="B129" s="87"/>
      <c r="C129" s="112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</row>
    <row r="130" spans="1:17" x14ac:dyDescent="0.3">
      <c r="A130" s="87"/>
      <c r="B130" s="87"/>
      <c r="C130" s="89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</row>
    <row r="131" spans="1:17" x14ac:dyDescent="0.3">
      <c r="A131" s="87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</row>
    <row r="132" spans="1:17" x14ac:dyDescent="0.3">
      <c r="A132" s="87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92"/>
      <c r="Q132" s="42"/>
    </row>
  </sheetData>
  <sheetProtection sheet="1" objects="1" scenarios="1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F1395-7D63-4F11-B1BA-99EC3CCCB860}">
  <sheetPr codeName="Sheet9">
    <tabColor theme="4"/>
  </sheetPr>
  <dimension ref="A1:AD132"/>
  <sheetViews>
    <sheetView zoomScaleNormal="100" workbookViewId="0">
      <selection activeCell="G20" sqref="G20"/>
    </sheetView>
  </sheetViews>
  <sheetFormatPr defaultColWidth="9.21875" defaultRowHeight="14.4" x14ac:dyDescent="0.3"/>
  <cols>
    <col min="1" max="1" width="46" style="61" bestFit="1" customWidth="1"/>
    <col min="2" max="2" width="8.21875" style="61" bestFit="1" customWidth="1"/>
    <col min="3" max="3" width="10.21875" style="61" customWidth="1"/>
    <col min="4" max="5" width="9.21875" style="61" bestFit="1" customWidth="1"/>
    <col min="6" max="6" width="9.44140625" style="61" bestFit="1" customWidth="1"/>
    <col min="7" max="13" width="9.21875" style="61" bestFit="1" customWidth="1"/>
    <col min="14" max="15" width="9.77734375" style="61" customWidth="1"/>
    <col min="16" max="16" width="9.77734375" style="61" bestFit="1" customWidth="1"/>
    <col min="17" max="17" width="10.21875" style="61" customWidth="1"/>
    <col min="18" max="18" width="26.44140625" style="61" bestFit="1" customWidth="1"/>
    <col min="19" max="27" width="9" style="61" bestFit="1" customWidth="1"/>
    <col min="28" max="28" width="13.21875" style="61" bestFit="1" customWidth="1"/>
    <col min="29" max="29" width="10.44140625" style="61" bestFit="1" customWidth="1"/>
    <col min="30" max="30" width="11.77734375" style="61" customWidth="1"/>
    <col min="31" max="16384" width="9.21875" style="61"/>
  </cols>
  <sheetData>
    <row r="1" spans="1:29" ht="15.75" customHeight="1" x14ac:dyDescent="0.3">
      <c r="B1" s="80"/>
      <c r="C1" s="81"/>
      <c r="E1" s="10"/>
      <c r="H1" s="118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</row>
    <row r="2" spans="1:29" x14ac:dyDescent="0.3">
      <c r="A2" s="10" t="s">
        <v>41</v>
      </c>
      <c r="B2" s="119"/>
      <c r="C2" s="120"/>
      <c r="H2" s="118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</row>
    <row r="3" spans="1:29" x14ac:dyDescent="0.3">
      <c r="A3" s="101" t="s">
        <v>42</v>
      </c>
      <c r="B3" s="101"/>
      <c r="C3" s="116">
        <f>C4+1</f>
        <v>1</v>
      </c>
      <c r="D3" s="116">
        <f t="shared" ref="D3" si="0">D4+1</f>
        <v>2</v>
      </c>
      <c r="E3" s="116">
        <f>D3+1</f>
        <v>3</v>
      </c>
      <c r="F3" s="116">
        <f t="shared" ref="F3:O3" si="1">E3+1</f>
        <v>4</v>
      </c>
      <c r="G3" s="116">
        <f t="shared" si="1"/>
        <v>5</v>
      </c>
      <c r="H3" s="116">
        <f t="shared" si="1"/>
        <v>6</v>
      </c>
      <c r="I3" s="116">
        <f t="shared" si="1"/>
        <v>7</v>
      </c>
      <c r="J3" s="116">
        <f t="shared" si="1"/>
        <v>8</v>
      </c>
      <c r="K3" s="116">
        <f t="shared" si="1"/>
        <v>9</v>
      </c>
      <c r="L3" s="116">
        <f t="shared" si="1"/>
        <v>10</v>
      </c>
      <c r="M3" s="116">
        <f t="shared" si="1"/>
        <v>11</v>
      </c>
      <c r="N3" s="116">
        <f t="shared" si="1"/>
        <v>12</v>
      </c>
      <c r="O3" s="116">
        <f t="shared" si="1"/>
        <v>13</v>
      </c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</row>
    <row r="4" spans="1:29" x14ac:dyDescent="0.3">
      <c r="A4" s="101" t="s">
        <v>43</v>
      </c>
      <c r="B4" s="101"/>
      <c r="C4" s="116">
        <v>0</v>
      </c>
      <c r="D4" s="116">
        <v>1</v>
      </c>
      <c r="E4" s="116">
        <f t="shared" ref="E4:P4" si="2">IF(PC&gt;D4, D4+1, " ")</f>
        <v>2</v>
      </c>
      <c r="F4" s="116">
        <f t="shared" si="2"/>
        <v>3</v>
      </c>
      <c r="G4" s="116">
        <f t="shared" si="2"/>
        <v>4</v>
      </c>
      <c r="H4" s="116">
        <f t="shared" si="2"/>
        <v>5</v>
      </c>
      <c r="I4" s="116">
        <f t="shared" si="2"/>
        <v>6</v>
      </c>
      <c r="J4" s="116">
        <f t="shared" si="2"/>
        <v>7</v>
      </c>
      <c r="K4" s="116">
        <f t="shared" si="2"/>
        <v>8</v>
      </c>
      <c r="L4" s="116">
        <f t="shared" si="2"/>
        <v>9</v>
      </c>
      <c r="M4" s="116">
        <f t="shared" si="2"/>
        <v>10</v>
      </c>
      <c r="N4" s="116" t="str">
        <f t="shared" si="2"/>
        <v xml:space="preserve"> </v>
      </c>
      <c r="O4" s="116" t="str">
        <f t="shared" si="2"/>
        <v xml:space="preserve"> </v>
      </c>
      <c r="P4" s="11" t="str">
        <f t="shared" si="2"/>
        <v xml:space="preserve"> </v>
      </c>
      <c r="AA4" s="31"/>
      <c r="AB4" s="31"/>
      <c r="AC4" s="31"/>
    </row>
    <row r="5" spans="1:29" x14ac:dyDescent="0.3">
      <c r="A5" s="101" t="s">
        <v>44</v>
      </c>
      <c r="B5" s="101"/>
      <c r="C5" s="102" t="str">
        <f t="shared" ref="C5:O5" si="3">IF(C4=" ", " ", (IF(C4&gt;=on, (1/(1+i)^(C4-on))," ")))</f>
        <v xml:space="preserve"> </v>
      </c>
      <c r="D5" s="102">
        <f t="shared" si="3"/>
        <v>1</v>
      </c>
      <c r="E5" s="102">
        <f t="shared" si="3"/>
        <v>0.95238095238095233</v>
      </c>
      <c r="F5" s="102">
        <f t="shared" si="3"/>
        <v>0.90702947845804982</v>
      </c>
      <c r="G5" s="102">
        <f t="shared" si="3"/>
        <v>0.86383759853147601</v>
      </c>
      <c r="H5" s="102">
        <f t="shared" si="3"/>
        <v>0.82270247479188197</v>
      </c>
      <c r="I5" s="102">
        <f t="shared" si="3"/>
        <v>0.78352616646845896</v>
      </c>
      <c r="J5" s="102">
        <f t="shared" si="3"/>
        <v>0.74621539663662761</v>
      </c>
      <c r="K5" s="102">
        <f t="shared" si="3"/>
        <v>0.71068133013012147</v>
      </c>
      <c r="L5" s="102">
        <f t="shared" si="3"/>
        <v>0.67683936202868722</v>
      </c>
      <c r="M5" s="102">
        <f t="shared" si="3"/>
        <v>0.64460891621779726</v>
      </c>
      <c r="N5" s="102" t="str">
        <f t="shared" si="3"/>
        <v xml:space="preserve"> </v>
      </c>
      <c r="O5" s="102" t="str">
        <f t="shared" si="3"/>
        <v xml:space="preserve"> </v>
      </c>
      <c r="AA5" s="31"/>
      <c r="AB5" s="31"/>
      <c r="AC5" s="31"/>
    </row>
    <row r="6" spans="1:29" x14ac:dyDescent="0.3">
      <c r="A6" s="103" t="s">
        <v>27</v>
      </c>
      <c r="B6" s="103"/>
      <c r="C6" s="105" t="str" cm="1">
        <f t="array" ref="C6">IF(C5=" "," ",(IF(C4=on,-vc,((('Variable Inputs'!$C$27-(VLOOKUP('NPV Scenario 1'!C3,'Probabilities &amp; Price Slide'!$B$20:$E$29,4,FALSE)))*(_xlfn.IFS(C3=2, ('Variable Inputs'!$C$28+(VLOOKUP('Variable Inputs'!$C$27,'Probabilities &amp; Price Slide'!$P$33:$T$370,3,TRUE))), C3=3, ('Variable Inputs'!$C$28+(VLOOKUP('Variable Inputs'!$C$27,'Probabilities &amp; Price Slide'!$P$33:$T$370,3,TRUE))), C3=4, ('Variable Inputs'!$C$28+(VLOOKUP('Variable Inputs'!$C$27,'Probabilities &amp; Price Slide'!$P$33:$T$370,3,TRUE))), C3=11, ('Variable Inputs'!$C$28+(VLOOKUP('Variable Inputs'!$C$27,'Probabilities &amp; Price Slide'!$P$33:$T$370,3,TRUE))), C3=5, 'Variable Inputs'!$C$28, C3=6, 'Variable Inputs'!$C$28, C3=7, 'Variable Inputs'!$C$28, C3=8, 'Variable Inputs'!$C$28, C3=9, 'Variable Inputs'!$C$28, C3=10, 'Variable Inputs'!$C$28))-vc)))))</f>
        <v xml:space="preserve"> </v>
      </c>
      <c r="D6" s="105" cm="1">
        <f t="array" ref="D6">IF(D5=" "," ",(IF(D4=on,-vc,((('Variable Inputs'!$C$27-(VLOOKUP('NPV Scenario 1'!D3,'Probabilities &amp; Price Slide'!$B$20:$E$29,4,FALSE)))*(_xlfn.IFS(D3=2, ('Variable Inputs'!$C$28+(VLOOKUP('Variable Inputs'!$C$27,'Probabilities &amp; Price Slide'!$P$33:$T$370,3,TRUE))), D3=3, ('Variable Inputs'!$C$28+(VLOOKUP('Variable Inputs'!$C$27,'Probabilities &amp; Price Slide'!$P$33:$T$370,3,TRUE))), D3=4, ('Variable Inputs'!$C$28+(VLOOKUP('Variable Inputs'!$C$27,'Probabilities &amp; Price Slide'!$P$33:$T$370,3,TRUE))), D3=11, ('Variable Inputs'!$C$28+(VLOOKUP('Variable Inputs'!$C$27,'Probabilities &amp; Price Slide'!$P$33:$T$370,3,TRUE))), D3=5, 'Variable Inputs'!$C$28, D3=6, 'Variable Inputs'!$C$28, D3=7, 'Variable Inputs'!$C$28, D3=8, 'Variable Inputs'!$C$28, D3=9, 'Variable Inputs'!$C$28, D3=10, 'Variable Inputs'!$C$28))-vc)))))</f>
        <v>-450</v>
      </c>
      <c r="E6" s="105" cm="1">
        <f t="array" ref="E6">IF(E5=" "," ",(IF(E4=on,-vc,((('Variable Inputs'!$C$27-(VLOOKUP('NPV Scenario 1'!E3,'Probabilities &amp; Price Slide'!$B$20:$E$29,4,FALSE)))*(_xlfn.IFS(E3=2, ('Variable Inputs'!$C$28+(VLOOKUP('Variable Inputs'!$C$27,'Probabilities &amp; Price Slide'!$P$33:$T$370,3,TRUE))), E3=3, ('Variable Inputs'!$C$28+(VLOOKUP('Variable Inputs'!$C$27,'Probabilities &amp; Price Slide'!$P$33:$T$370,3,TRUE))), E3=4, ('Variable Inputs'!$C$28+(VLOOKUP('Variable Inputs'!$C$27,'Probabilities &amp; Price Slide'!$P$33:$T$370,3,TRUE))), E3=11, ('Variable Inputs'!$C$28+(VLOOKUP('Variable Inputs'!$C$27,'Probabilities &amp; Price Slide'!$P$33:$T$370,3,TRUE))), E3=5, 'Variable Inputs'!$C$28, E3=6, 'Variable Inputs'!$C$28, E3=7, 'Variable Inputs'!$C$28, E3=8, 'Variable Inputs'!$C$28, E3=9, 'Variable Inputs'!$C$28, E3=10, 'Variable Inputs'!$C$28))-vc)))))</f>
        <v>525.61637972684446</v>
      </c>
      <c r="F6" s="105" cm="1">
        <f t="array" ref="F6">IF(F5=" "," ",(IF(F4=on,-vc,((('Variable Inputs'!$C$27-(VLOOKUP('NPV Scenario 1'!F3,'Probabilities &amp; Price Slide'!$B$20:$E$29,4,FALSE)))*(_xlfn.IFS(F3=2, ('Variable Inputs'!$C$28+(VLOOKUP('Variable Inputs'!$C$27,'Probabilities &amp; Price Slide'!$P$33:$T$370,3,TRUE))), F3=3, ('Variable Inputs'!$C$28+(VLOOKUP('Variable Inputs'!$C$27,'Probabilities &amp; Price Slide'!$P$33:$T$370,3,TRUE))), F3=4, ('Variable Inputs'!$C$28+(VLOOKUP('Variable Inputs'!$C$27,'Probabilities &amp; Price Slide'!$P$33:$T$370,3,TRUE))), F3=11, ('Variable Inputs'!$C$28+(VLOOKUP('Variable Inputs'!$C$27,'Probabilities &amp; Price Slide'!$P$33:$T$370,3,TRUE))), F3=5, 'Variable Inputs'!$C$28, F3=6, 'Variable Inputs'!$C$28, F3=7, 'Variable Inputs'!$C$28, F3=8, 'Variable Inputs'!$C$28, F3=9, 'Variable Inputs'!$C$28, F3=10, 'Variable Inputs'!$C$28))-vc)))))</f>
        <v>561.52851487382088</v>
      </c>
      <c r="G6" s="105" cm="1">
        <f t="array" ref="G6">IF(G5=" "," ",(IF(G4=on,-vc,((('Variable Inputs'!$C$27-(VLOOKUP('NPV Scenario 1'!G3,'Probabilities &amp; Price Slide'!$B$20:$E$29,4,FALSE)))*(_xlfn.IFS(G3=2, ('Variable Inputs'!$C$28+(VLOOKUP('Variable Inputs'!$C$27,'Probabilities &amp; Price Slide'!$P$33:$T$370,3,TRUE))), G3=3, ('Variable Inputs'!$C$28+(VLOOKUP('Variable Inputs'!$C$27,'Probabilities &amp; Price Slide'!$P$33:$T$370,3,TRUE))), G3=4, ('Variable Inputs'!$C$28+(VLOOKUP('Variable Inputs'!$C$27,'Probabilities &amp; Price Slide'!$P$33:$T$370,3,TRUE))), G3=11, ('Variable Inputs'!$C$28+(VLOOKUP('Variable Inputs'!$C$27,'Probabilities &amp; Price Slide'!$P$33:$T$370,3,TRUE))), G3=5, 'Variable Inputs'!$C$28, G3=6, 'Variable Inputs'!$C$28, G3=7, 'Variable Inputs'!$C$28, G3=8, 'Variable Inputs'!$C$28, G3=9, 'Variable Inputs'!$C$28, G3=10, 'Variable Inputs'!$C$28))-vc)))))</f>
        <v>650</v>
      </c>
      <c r="H6" s="105" cm="1">
        <f t="array" ref="H6">IF(H5=" "," ",(IF(H4=on,-vc,((('Variable Inputs'!$C$27-(VLOOKUP('NPV Scenario 1'!H3,'Probabilities &amp; Price Slide'!$B$20:$E$29,4,FALSE)))*(_xlfn.IFS(H3=2, ('Variable Inputs'!$C$28+(VLOOKUP('Variable Inputs'!$C$27,'Probabilities &amp; Price Slide'!$P$33:$T$370,3,TRUE))), H3=3, ('Variable Inputs'!$C$28+(VLOOKUP('Variable Inputs'!$C$27,'Probabilities &amp; Price Slide'!$P$33:$T$370,3,TRUE))), H3=4, ('Variable Inputs'!$C$28+(VLOOKUP('Variable Inputs'!$C$27,'Probabilities &amp; Price Slide'!$P$33:$T$370,3,TRUE))), H3=11, ('Variable Inputs'!$C$28+(VLOOKUP('Variable Inputs'!$C$27,'Probabilities &amp; Price Slide'!$P$33:$T$370,3,TRUE))), H3=5, 'Variable Inputs'!$C$28, H3=6, 'Variable Inputs'!$C$28, H3=7, 'Variable Inputs'!$C$28, H3=8, 'Variable Inputs'!$C$28, H3=9, 'Variable Inputs'!$C$28, H3=10, 'Variable Inputs'!$C$28))-vc)))))</f>
        <v>650</v>
      </c>
      <c r="I6" s="105" cm="1">
        <f t="array" ref="I6">IF(I5=" "," ",(IF(I4=on,-vc,((('Variable Inputs'!$C$27-(VLOOKUP('NPV Scenario 1'!I3,'Probabilities &amp; Price Slide'!$B$20:$E$29,4,FALSE)))*(_xlfn.IFS(I3=2, ('Variable Inputs'!$C$28+(VLOOKUP('Variable Inputs'!$C$27,'Probabilities &amp; Price Slide'!$P$33:$T$370,3,TRUE))), I3=3, ('Variable Inputs'!$C$28+(VLOOKUP('Variable Inputs'!$C$27,'Probabilities &amp; Price Slide'!$P$33:$T$370,3,TRUE))), I3=4, ('Variable Inputs'!$C$28+(VLOOKUP('Variable Inputs'!$C$27,'Probabilities &amp; Price Slide'!$P$33:$T$370,3,TRUE))), I3=11, ('Variable Inputs'!$C$28+(VLOOKUP('Variable Inputs'!$C$27,'Probabilities &amp; Price Slide'!$P$33:$T$370,3,TRUE))), I3=5, 'Variable Inputs'!$C$28, I3=6, 'Variable Inputs'!$C$28, I3=7, 'Variable Inputs'!$C$28, I3=8, 'Variable Inputs'!$C$28, I3=9, 'Variable Inputs'!$C$28, I3=10, 'Variable Inputs'!$C$28))-vc)))))</f>
        <v>650</v>
      </c>
      <c r="J6" s="105" cm="1">
        <f t="array" ref="J6">IF(J5=" "," ",(IF(J4=on,-vc,((('Variable Inputs'!$C$27-(VLOOKUP('NPV Scenario 1'!J3,'Probabilities &amp; Price Slide'!$B$20:$E$29,4,FALSE)))*(_xlfn.IFS(J3=2, ('Variable Inputs'!$C$28+(VLOOKUP('Variable Inputs'!$C$27,'Probabilities &amp; Price Slide'!$P$33:$T$370,3,TRUE))), J3=3, ('Variable Inputs'!$C$28+(VLOOKUP('Variable Inputs'!$C$27,'Probabilities &amp; Price Slide'!$P$33:$T$370,3,TRUE))), J3=4, ('Variable Inputs'!$C$28+(VLOOKUP('Variable Inputs'!$C$27,'Probabilities &amp; Price Slide'!$P$33:$T$370,3,TRUE))), J3=11, ('Variable Inputs'!$C$28+(VLOOKUP('Variable Inputs'!$C$27,'Probabilities &amp; Price Slide'!$P$33:$T$370,3,TRUE))), J3=5, 'Variable Inputs'!$C$28, J3=6, 'Variable Inputs'!$C$28, J3=7, 'Variable Inputs'!$C$28, J3=8, 'Variable Inputs'!$C$28, J3=9, 'Variable Inputs'!$C$28, J3=10, 'Variable Inputs'!$C$28))-vc)))))</f>
        <v>650</v>
      </c>
      <c r="K6" s="105" cm="1">
        <f t="array" ref="K6">IF(K5=" "," ",(IF(K4=on,-vc,((('Variable Inputs'!$C$27-(VLOOKUP('NPV Scenario 1'!K3,'Probabilities &amp; Price Slide'!$B$20:$E$29,4,FALSE)))*(_xlfn.IFS(K3=2, ('Variable Inputs'!$C$28+(VLOOKUP('Variable Inputs'!$C$27,'Probabilities &amp; Price Slide'!$P$33:$T$370,3,TRUE))), K3=3, ('Variable Inputs'!$C$28+(VLOOKUP('Variable Inputs'!$C$27,'Probabilities &amp; Price Slide'!$P$33:$T$370,3,TRUE))), K3=4, ('Variable Inputs'!$C$28+(VLOOKUP('Variable Inputs'!$C$27,'Probabilities &amp; Price Slide'!$P$33:$T$370,3,TRUE))), K3=11, ('Variable Inputs'!$C$28+(VLOOKUP('Variable Inputs'!$C$27,'Probabilities &amp; Price Slide'!$P$33:$T$370,3,TRUE))), K3=5, 'Variable Inputs'!$C$28, K3=6, 'Variable Inputs'!$C$28, K3=7, 'Variable Inputs'!$C$28, K3=8, 'Variable Inputs'!$C$28, K3=9, 'Variable Inputs'!$C$28, K3=10, 'Variable Inputs'!$C$28))-vc)))))</f>
        <v>650</v>
      </c>
      <c r="L6" s="105" cm="1">
        <f t="array" ref="L6">IF(L5=" "," ",(IF(L4=on,-vc,((('Variable Inputs'!$C$27-(VLOOKUP('NPV Scenario 1'!L3,'Probabilities &amp; Price Slide'!$B$20:$E$29,4,FALSE)))*(_xlfn.IFS(L3=2, ('Variable Inputs'!$C$28+(VLOOKUP('Variable Inputs'!$C$27,'Probabilities &amp; Price Slide'!$P$33:$T$370,3,TRUE))), L3=3, ('Variable Inputs'!$C$28+(VLOOKUP('Variable Inputs'!$C$27,'Probabilities &amp; Price Slide'!$P$33:$T$370,3,TRUE))), L3=4, ('Variable Inputs'!$C$28+(VLOOKUP('Variable Inputs'!$C$27,'Probabilities &amp; Price Slide'!$P$33:$T$370,3,TRUE))), L3=11, ('Variable Inputs'!$C$28+(VLOOKUP('Variable Inputs'!$C$27,'Probabilities &amp; Price Slide'!$P$33:$T$370,3,TRUE))), L3=5, 'Variable Inputs'!$C$28, L3=6, 'Variable Inputs'!$C$28, L3=7, 'Variable Inputs'!$C$28, L3=8, 'Variable Inputs'!$C$28, L3=9, 'Variable Inputs'!$C$28, L3=10, 'Variable Inputs'!$C$28))-vc)))))</f>
        <v>650</v>
      </c>
      <c r="M6" s="105" cm="1">
        <f t="array" ref="M6">IF(M5=" "," ",(IF(M4=on,-vc,((('Variable Inputs'!$C$27-(VLOOKUP('NPV Scenario 1'!M3,'Probabilities &amp; Price Slide'!$B$20:$E$29,4,FALSE)))*(_xlfn.IFS(M3=2, ('Variable Inputs'!$C$28+(VLOOKUP('Variable Inputs'!$C$27,'Probabilities &amp; Price Slide'!$P$33:$T$370,3,TRUE))), M3=3, ('Variable Inputs'!$C$28+(VLOOKUP('Variable Inputs'!$C$27,'Probabilities &amp; Price Slide'!$P$33:$T$370,3,TRUE))), M3=4, ('Variable Inputs'!$C$28+(VLOOKUP('Variable Inputs'!$C$27,'Probabilities &amp; Price Slide'!$P$33:$T$370,3,TRUE))), M3=11, ('Variable Inputs'!$C$28+(VLOOKUP('Variable Inputs'!$C$27,'Probabilities &amp; Price Slide'!$P$33:$T$370,3,TRUE))), M3=5, 'Variable Inputs'!$C$28, M3=6, 'Variable Inputs'!$C$28, M3=7, 'Variable Inputs'!$C$28, M3=8, 'Variable Inputs'!$C$28, M3=9, 'Variable Inputs'!$C$28, M3=10, 'Variable Inputs'!$C$28))-vc)))))</f>
        <v>561.52851487382088</v>
      </c>
      <c r="N6" s="105" t="str" cm="1">
        <f t="array" ref="N6">IF(N5=" "," ",(IF(N4=on,-vc,((('Variable Inputs'!$C$27-(VLOOKUP('NPV Scenario 1'!N3,'Probabilities &amp; Price Slide'!$B$20:$E$29,4,FALSE)))*(_xlfn.IFS(N3=2, ('Variable Inputs'!$C$28+(VLOOKUP('Variable Inputs'!$C$27,'Probabilities &amp; Price Slide'!$P$33:$T$370,3,TRUE))), N3=3, ('Variable Inputs'!$C$28+(VLOOKUP('Variable Inputs'!$C$27,'Probabilities &amp; Price Slide'!$P$33:$T$370,3,TRUE))), N3=4, ('Variable Inputs'!$C$28+(VLOOKUP('Variable Inputs'!$C$27,'Probabilities &amp; Price Slide'!$P$33:$T$370,3,TRUE))), N3=11, ('Variable Inputs'!$C$28+(VLOOKUP('Variable Inputs'!$C$27,'Probabilities &amp; Price Slide'!$P$33:$T$370,3,TRUE))), N3=5, 'Variable Inputs'!$C$28, N3=6, 'Variable Inputs'!$C$28, N3=7, 'Variable Inputs'!$C$28, N3=8, 'Variable Inputs'!$C$28, N3=9, 'Variable Inputs'!$C$28, N3=10, 'Variable Inputs'!$C$28))-vc)))))</f>
        <v xml:space="preserve"> </v>
      </c>
      <c r="O6" s="105" t="str" cm="1">
        <f t="array" ref="O6">IF(O5=" "," ",(IF(O4=on,-vc,((('Variable Inputs'!$C$27-(VLOOKUP('NPV Scenario 1'!O3,'Probabilities &amp; Price Slide'!$B$20:$E$29,4,FALSE)))*(_xlfn.IFS(O3=2, ('Variable Inputs'!$C$28+(VLOOKUP('Variable Inputs'!$C$27,'Probabilities &amp; Price Slide'!$P$33:$T$370,3,TRUE))), O3=3, ('Variable Inputs'!$C$28+(VLOOKUP('Variable Inputs'!$C$27,'Probabilities &amp; Price Slide'!$P$33:$T$370,3,TRUE))), O3=4, ('Variable Inputs'!$C$28+(VLOOKUP('Variable Inputs'!$C$27,'Probabilities &amp; Price Slide'!$P$33:$T$370,3,TRUE))), O3=11, ('Variable Inputs'!$C$28+(VLOOKUP('Variable Inputs'!$C$27,'Probabilities &amp; Price Slide'!$P$33:$T$370,3,TRUE))), O3=5, 'Variable Inputs'!$C$28, O3=6, 'Variable Inputs'!$C$28, O3=7, 'Variable Inputs'!$C$28, O3=8, 'Variable Inputs'!$C$28, O3=9, 'Variable Inputs'!$C$28, O3=10, 'Variable Inputs'!$C$28))-vc)))))</f>
        <v xml:space="preserve"> </v>
      </c>
    </row>
    <row r="7" spans="1:29" x14ac:dyDescent="0.3">
      <c r="A7" s="103" t="s">
        <v>28</v>
      </c>
      <c r="B7" s="103"/>
      <c r="C7" s="105" t="str">
        <f>IF(C5=1,(-'Variable Inputs'!$C$36*'Variable Inputs'!$C$37),(IF(PC&gt;B4,(IF(D4=" ",(IF(C3&gt;8,'Variable Inputs'!$C$36*('Variable Inputs'!$C$37+'Probabilities &amp; Price Slide'!$B$38), S))," "))," ")))</f>
        <v xml:space="preserve"> </v>
      </c>
      <c r="D7" s="105">
        <f>IF(D5=1,(-'Variable Inputs'!$C$36*'Variable Inputs'!$C$37),(IF(PC&gt;C4,(IF(E4=" ",(IF(D3&gt;8,'Variable Inputs'!$C$36*('Variable Inputs'!$C$37+'Probabilities &amp; Price Slide'!$B$38), S))," "))," ")))</f>
        <v>-1080</v>
      </c>
      <c r="E7" s="105" t="str">
        <f>IF(E5=1,(-'Variable Inputs'!$C$36*'Variable Inputs'!$C$37),(IF(PC&gt;D4,(IF(F4=" ",(IF(E3&gt;8,'Variable Inputs'!$C$36*('Variable Inputs'!$C$37+'Probabilities &amp; Price Slide'!$B$38), S))," "))," ")))</f>
        <v xml:space="preserve"> </v>
      </c>
      <c r="F7" s="105" t="str">
        <f>IF(F5=1,(-'Variable Inputs'!$C$36*'Variable Inputs'!$C$37),(IF(PC&gt;E4,(IF(G4=" ",(IF(F3&gt;8,'Variable Inputs'!$C$36*('Variable Inputs'!$C$37+'Probabilities &amp; Price Slide'!$B$38), S))," "))," ")))</f>
        <v xml:space="preserve"> </v>
      </c>
      <c r="G7" s="105" t="str">
        <f>IF(G5=1,(-'Variable Inputs'!$C$36*'Variable Inputs'!$C$37),(IF(PC&gt;F4,(IF(H4=" ",(IF(G3&gt;8,'Variable Inputs'!$C$36*('Variable Inputs'!$C$37+'Probabilities &amp; Price Slide'!$B$38), S))," "))," ")))</f>
        <v xml:space="preserve"> </v>
      </c>
      <c r="H7" s="105" t="str">
        <f>IF(H5=1,(-'Variable Inputs'!$C$36*'Variable Inputs'!$C$37),(IF(PC&gt;G4,(IF(I4=" ",(IF(H3&gt;8,'Variable Inputs'!$C$36*('Variable Inputs'!$C$37+'Probabilities &amp; Price Slide'!$B$38), S))," "))," ")))</f>
        <v xml:space="preserve"> </v>
      </c>
      <c r="I7" s="105" t="str">
        <f>IF(I5=1,(-'Variable Inputs'!$C$36*'Variable Inputs'!$C$37),(IF(PC&gt;H4,(IF(J4=" ",(IF(I3&gt;8,'Variable Inputs'!$C$36*('Variable Inputs'!$C$37+'Probabilities &amp; Price Slide'!$B$38), S))," "))," ")))</f>
        <v xml:space="preserve"> </v>
      </c>
      <c r="J7" s="105" t="str">
        <f>IF(J5=1,(-'Variable Inputs'!$C$36*'Variable Inputs'!$C$37),(IF(PC&gt;I4,(IF(K4=" ",(IF(J3&gt;8,'Variable Inputs'!$C$36*('Variable Inputs'!$C$37+'Probabilities &amp; Price Slide'!$B$38), S))," "))," ")))</f>
        <v xml:space="preserve"> </v>
      </c>
      <c r="K7" s="105" t="str">
        <f>IF(K5=1,(-'Variable Inputs'!$C$36*'Variable Inputs'!$C$37),(IF(PC&gt;J4,(IF(L4=" ",(IF(K3&gt;8,'Variable Inputs'!$C$36*('Variable Inputs'!$C$37+'Probabilities &amp; Price Slide'!$B$38), S))," "))," ")))</f>
        <v xml:space="preserve"> </v>
      </c>
      <c r="L7" s="105" t="str">
        <f>IF(L5=1,(-'Variable Inputs'!$C$36*'Variable Inputs'!$C$37),(IF(PC&gt;K4,(IF(M4=" ",(IF(L3&gt;8,'Variable Inputs'!$C$36*('Variable Inputs'!$C$37+'Probabilities &amp; Price Slide'!$B$38), S))," "))," ")))</f>
        <v xml:space="preserve"> </v>
      </c>
      <c r="M7" s="105">
        <f>IF(M5=1,(-'Variable Inputs'!$C$36*'Variable Inputs'!$C$37),(IF(PC&gt;L4,(IF(N4=" ",(IF(M3&gt;8,'Variable Inputs'!$C$36*('Variable Inputs'!$C$37+'Probabilities &amp; Price Slide'!$B$38), S))," "))," ")))</f>
        <v>810</v>
      </c>
      <c r="N7" s="105" t="str">
        <f>IF(N5=1,(-'Variable Inputs'!$C$36*'Variable Inputs'!$C$37),(IF(PC&gt;M4,(IF(O4=" ",(IF(N3&gt;8,'Variable Inputs'!$C$36*('Variable Inputs'!$C$37+'Probabilities &amp; Price Slide'!$B$38), S))," "))," ")))</f>
        <v xml:space="preserve"> </v>
      </c>
      <c r="O7" s="105" t="str">
        <f>IF(O5=1,(-'Variable Inputs'!$C$36*'Variable Inputs'!$C$37),(IF(PC&gt;N4,(IF(P4=" ",(IF(O3&gt;8,'Variable Inputs'!$C$36*('Variable Inputs'!$C$37+'Probabilities &amp; Price Slide'!$B$38), S))," "))," ")))</f>
        <v xml:space="preserve"> </v>
      </c>
    </row>
    <row r="8" spans="1:29" ht="15" thickBot="1" x14ac:dyDescent="0.35">
      <c r="A8" s="103" t="s">
        <v>45</v>
      </c>
      <c r="C8" s="106" t="str">
        <f>IF(C5=" "," ",(SUM(C6:C7)))</f>
        <v xml:space="preserve"> </v>
      </c>
      <c r="D8" s="106">
        <f t="shared" ref="D8:O8" si="4">IF(D5=" "," ",(SUM(D6:D7)))</f>
        <v>-1530</v>
      </c>
      <c r="E8" s="106">
        <f t="shared" si="4"/>
        <v>525.61637972684446</v>
      </c>
      <c r="F8" s="106">
        <f t="shared" si="4"/>
        <v>561.52851487382088</v>
      </c>
      <c r="G8" s="106">
        <f t="shared" si="4"/>
        <v>650</v>
      </c>
      <c r="H8" s="106">
        <f t="shared" si="4"/>
        <v>650</v>
      </c>
      <c r="I8" s="106">
        <f t="shared" si="4"/>
        <v>650</v>
      </c>
      <c r="J8" s="106">
        <f t="shared" si="4"/>
        <v>650</v>
      </c>
      <c r="K8" s="106">
        <f t="shared" si="4"/>
        <v>650</v>
      </c>
      <c r="L8" s="106">
        <f t="shared" si="4"/>
        <v>650</v>
      </c>
      <c r="M8" s="106">
        <f t="shared" si="4"/>
        <v>1371.5285148738208</v>
      </c>
      <c r="N8" s="106" t="str">
        <f t="shared" si="4"/>
        <v xml:space="preserve"> </v>
      </c>
      <c r="O8" s="106" t="str">
        <f t="shared" si="4"/>
        <v xml:space="preserve"> </v>
      </c>
    </row>
    <row r="9" spans="1:29" ht="15" thickBot="1" x14ac:dyDescent="0.35">
      <c r="A9" s="101" t="s">
        <v>46</v>
      </c>
      <c r="B9" s="97"/>
      <c r="C9" s="107" t="str">
        <f>IF(C5=" "," ",(C8*C5))</f>
        <v xml:space="preserve"> </v>
      </c>
      <c r="D9" s="107">
        <f t="shared" ref="D9:O9" si="5">IF(D5=" "," ",(D8*D5))</f>
        <v>-1530</v>
      </c>
      <c r="E9" s="107">
        <f t="shared" si="5"/>
        <v>500.58702831128039</v>
      </c>
      <c r="F9" s="107">
        <f t="shared" si="5"/>
        <v>509.32291598532504</v>
      </c>
      <c r="G9" s="107">
        <f t="shared" si="5"/>
        <v>561.49443904545944</v>
      </c>
      <c r="H9" s="107">
        <f t="shared" si="5"/>
        <v>534.75660861472329</v>
      </c>
      <c r="I9" s="107">
        <f t="shared" si="5"/>
        <v>509.2920082044983</v>
      </c>
      <c r="J9" s="107">
        <f t="shared" si="5"/>
        <v>485.04000781380796</v>
      </c>
      <c r="K9" s="107">
        <f t="shared" si="5"/>
        <v>461.94286458457896</v>
      </c>
      <c r="L9" s="107">
        <f t="shared" si="5"/>
        <v>439.94558531864669</v>
      </c>
      <c r="M9" s="107">
        <f t="shared" si="5"/>
        <v>884.09950953461862</v>
      </c>
      <c r="N9" s="107" t="str">
        <f t="shared" si="5"/>
        <v xml:space="preserve"> </v>
      </c>
      <c r="O9" s="107" t="str">
        <f t="shared" si="5"/>
        <v xml:space="preserve"> </v>
      </c>
      <c r="P9" s="9">
        <f>SUM(C9:O9)</f>
        <v>3356.4809674129392</v>
      </c>
      <c r="Q9" s="91" t="s">
        <v>56</v>
      </c>
    </row>
    <row r="10" spans="1:29" x14ac:dyDescent="0.3">
      <c r="A10" s="103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21"/>
      <c r="Q10" s="42"/>
    </row>
    <row r="11" spans="1:29" x14ac:dyDescent="0.3">
      <c r="A11" s="10" t="s">
        <v>47</v>
      </c>
      <c r="B11" s="119"/>
      <c r="C11" s="120"/>
      <c r="H11" s="118"/>
      <c r="Q11" s="13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</row>
    <row r="12" spans="1:29" x14ac:dyDescent="0.3">
      <c r="A12" s="101" t="s">
        <v>42</v>
      </c>
      <c r="B12" s="101"/>
      <c r="C12" s="116">
        <f>C13+1</f>
        <v>1</v>
      </c>
      <c r="D12" s="116">
        <f t="shared" ref="D12" si="6">D13+1</f>
        <v>2</v>
      </c>
      <c r="E12" s="116">
        <f>D12+1</f>
        <v>3</v>
      </c>
      <c r="F12" s="116">
        <f t="shared" ref="F12:O12" si="7">E12+1</f>
        <v>4</v>
      </c>
      <c r="G12" s="116">
        <f t="shared" si="7"/>
        <v>5</v>
      </c>
      <c r="H12" s="116">
        <f t="shared" si="7"/>
        <v>6</v>
      </c>
      <c r="I12" s="116">
        <f t="shared" si="7"/>
        <v>7</v>
      </c>
      <c r="J12" s="116">
        <f t="shared" si="7"/>
        <v>8</v>
      </c>
      <c r="K12" s="116">
        <f t="shared" si="7"/>
        <v>9</v>
      </c>
      <c r="L12" s="116">
        <f t="shared" si="7"/>
        <v>10</v>
      </c>
      <c r="M12" s="116">
        <f t="shared" si="7"/>
        <v>11</v>
      </c>
      <c r="N12" s="116">
        <f t="shared" si="7"/>
        <v>12</v>
      </c>
      <c r="O12" s="116">
        <f t="shared" si="7"/>
        <v>13</v>
      </c>
      <c r="Q12" s="13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</row>
    <row r="13" spans="1:29" x14ac:dyDescent="0.3">
      <c r="A13" s="101" t="s">
        <v>43</v>
      </c>
      <c r="B13" s="101"/>
      <c r="C13" s="116">
        <v>0</v>
      </c>
      <c r="D13" s="116">
        <v>1</v>
      </c>
      <c r="E13" s="116">
        <f t="shared" ref="E13:P13" si="8">IF(PC&gt;D13, D13+1, " ")</f>
        <v>2</v>
      </c>
      <c r="F13" s="116">
        <f t="shared" si="8"/>
        <v>3</v>
      </c>
      <c r="G13" s="116">
        <f t="shared" si="8"/>
        <v>4</v>
      </c>
      <c r="H13" s="116">
        <f t="shared" si="8"/>
        <v>5</v>
      </c>
      <c r="I13" s="116">
        <f t="shared" si="8"/>
        <v>6</v>
      </c>
      <c r="J13" s="116">
        <f t="shared" si="8"/>
        <v>7</v>
      </c>
      <c r="K13" s="116">
        <f t="shared" si="8"/>
        <v>8</v>
      </c>
      <c r="L13" s="116">
        <f t="shared" si="8"/>
        <v>9</v>
      </c>
      <c r="M13" s="116">
        <f t="shared" si="8"/>
        <v>10</v>
      </c>
      <c r="N13" s="116" t="str">
        <f t="shared" si="8"/>
        <v xml:space="preserve"> </v>
      </c>
      <c r="O13" s="116" t="str">
        <f t="shared" si="8"/>
        <v xml:space="preserve"> </v>
      </c>
      <c r="P13" s="11" t="str">
        <f t="shared" si="8"/>
        <v xml:space="preserve"> </v>
      </c>
      <c r="Q13" s="13"/>
      <c r="AA13" s="31"/>
      <c r="AB13" s="31"/>
      <c r="AC13" s="31"/>
    </row>
    <row r="14" spans="1:29" x14ac:dyDescent="0.3">
      <c r="A14" s="101" t="s">
        <v>44</v>
      </c>
      <c r="B14" s="101"/>
      <c r="C14" s="102" t="str">
        <f t="shared" ref="C14:O14" si="9">IF(C13=" ", " ", (IF(C13&gt;=on, (1/(1+i)^(C13-on))," ")))</f>
        <v xml:space="preserve"> </v>
      </c>
      <c r="D14" s="102">
        <f t="shared" si="9"/>
        <v>1</v>
      </c>
      <c r="E14" s="102">
        <f t="shared" si="9"/>
        <v>0.95238095238095233</v>
      </c>
      <c r="F14" s="102">
        <f t="shared" si="9"/>
        <v>0.90702947845804982</v>
      </c>
      <c r="G14" s="102">
        <f t="shared" si="9"/>
        <v>0.86383759853147601</v>
      </c>
      <c r="H14" s="102">
        <f t="shared" si="9"/>
        <v>0.82270247479188197</v>
      </c>
      <c r="I14" s="102">
        <f t="shared" si="9"/>
        <v>0.78352616646845896</v>
      </c>
      <c r="J14" s="102">
        <f t="shared" si="9"/>
        <v>0.74621539663662761</v>
      </c>
      <c r="K14" s="102">
        <f t="shared" si="9"/>
        <v>0.71068133013012147</v>
      </c>
      <c r="L14" s="102">
        <f t="shared" si="9"/>
        <v>0.67683936202868722</v>
      </c>
      <c r="M14" s="102">
        <f t="shared" si="9"/>
        <v>0.64460891621779726</v>
      </c>
      <c r="N14" s="102" t="str">
        <f t="shared" si="9"/>
        <v xml:space="preserve"> </v>
      </c>
      <c r="O14" s="102" t="str">
        <f t="shared" si="9"/>
        <v xml:space="preserve"> </v>
      </c>
      <c r="Q14" s="13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</row>
    <row r="15" spans="1:29" x14ac:dyDescent="0.3">
      <c r="A15" s="103" t="s">
        <v>27</v>
      </c>
      <c r="B15" s="103"/>
      <c r="C15" s="105" t="str" cm="1">
        <f t="array" ref="C15">IF(C14=" "," ",(IF(B13=on,-vc,(IF(B13=on-1,-vc,((('Variable Inputs'!$C$27-(VLOOKUP(C12, 'Probabilities &amp; Price Slide'!$B$20:$E$29,4, FALSE)))*(_xlfn.IFS(C12=2, ('Variable Inputs'!$C$28+(VLOOKUP('Variable Inputs'!$C$27,'Probabilities &amp; Price Slide'!$P$33:$T$370,3,TRUE))), C12=3, ('Variable Inputs'!$C$28+(VLOOKUP('Variable Inputs'!$C$27,'Probabilities &amp; Price Slide'!$P$33:$T$370,3,TRUE))), C12=4, ('Variable Inputs'!$C$28+(VLOOKUP('Variable Inputs'!$C$27,'Probabilities &amp; Price Slide'!$P$33:$T$370,3,TRUE))), C12=11, ('Variable Inputs'!$C$28+(VLOOKUP('Variable Inputs'!$C$27,'Probabilities &amp; Price Slide'!$P$33:$T$370,3,TRUE))), C12=5, 'Variable Inputs'!$C$28, C12=6, 'Variable Inputs'!$C$28, C12=7, 'Variable Inputs'!$C$28, C12=8, 'Variable Inputs'!$C$28, C12=9, 'Variable Inputs'!$C$28, C12=10, 'Variable Inputs'!$C$28)))-vc))))))</f>
        <v xml:space="preserve"> </v>
      </c>
      <c r="D15" s="105" cm="1">
        <f t="array" ref="D15">IF(D14=" "," ",(IF(C13=on,-vc,(IF(C13=on-1,-vc,((('Variable Inputs'!$C$27-(VLOOKUP(D12, 'Probabilities &amp; Price Slide'!$B$20:$E$29,4, FALSE)))*(_xlfn.IFS(D12=2, ('Variable Inputs'!$C$28+(VLOOKUP('Variable Inputs'!$C$27,'Probabilities &amp; Price Slide'!$P$33:$T$370,3,TRUE))), D12=3, ('Variable Inputs'!$C$28+(VLOOKUP('Variable Inputs'!$C$27,'Probabilities &amp; Price Slide'!$P$33:$T$370,3,TRUE))), D12=4, ('Variable Inputs'!$C$28+(VLOOKUP('Variable Inputs'!$C$27,'Probabilities &amp; Price Slide'!$P$33:$T$370,3,TRUE))), D12=11, ('Variable Inputs'!$C$28+(VLOOKUP('Variable Inputs'!$C$27,'Probabilities &amp; Price Slide'!$P$33:$T$370,3,TRUE))), D12=5, 'Variable Inputs'!$C$28, D12=6, 'Variable Inputs'!$C$28, D12=7, 'Variable Inputs'!$C$28, D12=8, 'Variable Inputs'!$C$28, D12=9, 'Variable Inputs'!$C$28, D12=10, 'Variable Inputs'!$C$28)))-vc))))))</f>
        <v>-450</v>
      </c>
      <c r="E15" s="105" cm="1">
        <f t="array" ref="E15">IF(E14=" "," ",(IF(D13=on,-vc,(IF(D13=on-1,-vc,((('Variable Inputs'!$C$27-(VLOOKUP(E12, 'Probabilities &amp; Price Slide'!$B$20:$E$29,4, FALSE)))*(_xlfn.IFS(E12=2, ('Variable Inputs'!$C$28+(VLOOKUP('Variable Inputs'!$C$27,'Probabilities &amp; Price Slide'!$P$33:$T$370,3,TRUE))), E12=3, ('Variable Inputs'!$C$28+(VLOOKUP('Variable Inputs'!$C$27,'Probabilities &amp; Price Slide'!$P$33:$T$370,3,TRUE))), E12=4, ('Variable Inputs'!$C$28+(VLOOKUP('Variable Inputs'!$C$27,'Probabilities &amp; Price Slide'!$P$33:$T$370,3,TRUE))), E12=11, ('Variable Inputs'!$C$28+(VLOOKUP('Variable Inputs'!$C$27,'Probabilities &amp; Price Slide'!$P$33:$T$370,3,TRUE))), E12=5, 'Variable Inputs'!$C$28, E12=6, 'Variable Inputs'!$C$28, E12=7, 'Variable Inputs'!$C$28, E12=8, 'Variable Inputs'!$C$28, E12=9, 'Variable Inputs'!$C$28, E12=10, 'Variable Inputs'!$C$28)))-vc))))))</f>
        <v>-450</v>
      </c>
      <c r="F15" s="105" cm="1">
        <f t="array" ref="F15">IF(F14=" "," ",(IF(E13=on,-vc,(IF(E13=on-1,-vc,((('Variable Inputs'!$C$27-(VLOOKUP(F12, 'Probabilities &amp; Price Slide'!$B$20:$E$29,4, FALSE)))*(_xlfn.IFS(F12=2, ('Variable Inputs'!$C$28+(VLOOKUP('Variable Inputs'!$C$27,'Probabilities &amp; Price Slide'!$P$33:$T$370,3,TRUE))), F12=3, ('Variable Inputs'!$C$28+(VLOOKUP('Variable Inputs'!$C$27,'Probabilities &amp; Price Slide'!$P$33:$T$370,3,TRUE))), F12=4, ('Variable Inputs'!$C$28+(VLOOKUP('Variable Inputs'!$C$27,'Probabilities &amp; Price Slide'!$P$33:$T$370,3,TRUE))), F12=11, ('Variable Inputs'!$C$28+(VLOOKUP('Variable Inputs'!$C$27,'Probabilities &amp; Price Slide'!$P$33:$T$370,3,TRUE))), F12=5, 'Variable Inputs'!$C$28, F12=6, 'Variable Inputs'!$C$28, F12=7, 'Variable Inputs'!$C$28, F12=8, 'Variable Inputs'!$C$28, F12=9, 'Variable Inputs'!$C$28, F12=10, 'Variable Inputs'!$C$28)))-vc))))))</f>
        <v>561.52851487382088</v>
      </c>
      <c r="G15" s="105" cm="1">
        <f t="array" ref="G15">IF(G14=" "," ",(IF(F13=on,-vc,(IF(F13=on-1,-vc,((('Variable Inputs'!$C$27-(VLOOKUP(G12, 'Probabilities &amp; Price Slide'!$B$20:$E$29,4, FALSE)))*(_xlfn.IFS(G12=2, ('Variable Inputs'!$C$28+(VLOOKUP('Variable Inputs'!$C$27,'Probabilities &amp; Price Slide'!$P$33:$T$370,3,TRUE))), G12=3, ('Variable Inputs'!$C$28+(VLOOKUP('Variable Inputs'!$C$27,'Probabilities &amp; Price Slide'!$P$33:$T$370,3,TRUE))), G12=4, ('Variable Inputs'!$C$28+(VLOOKUP('Variable Inputs'!$C$27,'Probabilities &amp; Price Slide'!$P$33:$T$370,3,TRUE))), G12=11, ('Variable Inputs'!$C$28+(VLOOKUP('Variable Inputs'!$C$27,'Probabilities &amp; Price Slide'!$P$33:$T$370,3,TRUE))), G12=5, 'Variable Inputs'!$C$28, G12=6, 'Variable Inputs'!$C$28, G12=7, 'Variable Inputs'!$C$28, G12=8, 'Variable Inputs'!$C$28, G12=9, 'Variable Inputs'!$C$28, G12=10, 'Variable Inputs'!$C$28)))-vc))))))</f>
        <v>650</v>
      </c>
      <c r="H15" s="105" cm="1">
        <f t="array" ref="H15">IF(H14=" "," ",(IF(G13=on,-vc,(IF(G13=on-1,-vc,((('Variable Inputs'!$C$27-(VLOOKUP(H12, 'Probabilities &amp; Price Slide'!$B$20:$E$29,4, FALSE)))*(_xlfn.IFS(H12=2, ('Variable Inputs'!$C$28+(VLOOKUP('Variable Inputs'!$C$27,'Probabilities &amp; Price Slide'!$P$33:$T$370,3,TRUE))), H12=3, ('Variable Inputs'!$C$28+(VLOOKUP('Variable Inputs'!$C$27,'Probabilities &amp; Price Slide'!$P$33:$T$370,3,TRUE))), H12=4, ('Variable Inputs'!$C$28+(VLOOKUP('Variable Inputs'!$C$27,'Probabilities &amp; Price Slide'!$P$33:$T$370,3,TRUE))), H12=11, ('Variable Inputs'!$C$28+(VLOOKUP('Variable Inputs'!$C$27,'Probabilities &amp; Price Slide'!$P$33:$T$370,3,TRUE))), H12=5, 'Variable Inputs'!$C$28, H12=6, 'Variable Inputs'!$C$28, H12=7, 'Variable Inputs'!$C$28, H12=8, 'Variable Inputs'!$C$28, H12=9, 'Variable Inputs'!$C$28, H12=10, 'Variable Inputs'!$C$28)))-vc))))))</f>
        <v>650</v>
      </c>
      <c r="I15" s="105" cm="1">
        <f t="array" ref="I15">IF(I14=" "," ",(IF(H13=on,-vc,(IF(H13=on-1,-vc,((('Variable Inputs'!$C$27-(VLOOKUP(I12, 'Probabilities &amp; Price Slide'!$B$20:$E$29,4, FALSE)))*(_xlfn.IFS(I12=2, ('Variable Inputs'!$C$28+(VLOOKUP('Variable Inputs'!$C$27,'Probabilities &amp; Price Slide'!$P$33:$T$370,3,TRUE))), I12=3, ('Variable Inputs'!$C$28+(VLOOKUP('Variable Inputs'!$C$27,'Probabilities &amp; Price Slide'!$P$33:$T$370,3,TRUE))), I12=4, ('Variable Inputs'!$C$28+(VLOOKUP('Variable Inputs'!$C$27,'Probabilities &amp; Price Slide'!$P$33:$T$370,3,TRUE))), I12=11, ('Variable Inputs'!$C$28+(VLOOKUP('Variable Inputs'!$C$27,'Probabilities &amp; Price Slide'!$P$33:$T$370,3,TRUE))), I12=5, 'Variable Inputs'!$C$28, I12=6, 'Variable Inputs'!$C$28, I12=7, 'Variable Inputs'!$C$28, I12=8, 'Variable Inputs'!$C$28, I12=9, 'Variable Inputs'!$C$28, I12=10, 'Variable Inputs'!$C$28)))-vc))))))</f>
        <v>650</v>
      </c>
      <c r="J15" s="105" cm="1">
        <f t="array" ref="J15">IF(J14=" "," ",(IF(I13=on,-vc,(IF(I13=on-1,-vc,((('Variable Inputs'!$C$27-(VLOOKUP(J12, 'Probabilities &amp; Price Slide'!$B$20:$E$29,4, FALSE)))*(_xlfn.IFS(J12=2, ('Variable Inputs'!$C$28+(VLOOKUP('Variable Inputs'!$C$27,'Probabilities &amp; Price Slide'!$P$33:$T$370,3,TRUE))), J12=3, ('Variable Inputs'!$C$28+(VLOOKUP('Variable Inputs'!$C$27,'Probabilities &amp; Price Slide'!$P$33:$T$370,3,TRUE))), J12=4, ('Variable Inputs'!$C$28+(VLOOKUP('Variable Inputs'!$C$27,'Probabilities &amp; Price Slide'!$P$33:$T$370,3,TRUE))), J12=11, ('Variable Inputs'!$C$28+(VLOOKUP('Variable Inputs'!$C$27,'Probabilities &amp; Price Slide'!$P$33:$T$370,3,TRUE))), J12=5, 'Variable Inputs'!$C$28, J12=6, 'Variable Inputs'!$C$28, J12=7, 'Variable Inputs'!$C$28, J12=8, 'Variable Inputs'!$C$28, J12=9, 'Variable Inputs'!$C$28, J12=10, 'Variable Inputs'!$C$28)))-vc))))))</f>
        <v>650</v>
      </c>
      <c r="K15" s="105" cm="1">
        <f t="array" ref="K15">IF(K14=" "," ",(IF(J13=on,-vc,(IF(J13=on-1,-vc,((('Variable Inputs'!$C$27-(VLOOKUP(K12, 'Probabilities &amp; Price Slide'!$B$20:$E$29,4, FALSE)))*(_xlfn.IFS(K12=2, ('Variable Inputs'!$C$28+(VLOOKUP('Variable Inputs'!$C$27,'Probabilities &amp; Price Slide'!$P$33:$T$370,3,TRUE))), K12=3, ('Variable Inputs'!$C$28+(VLOOKUP('Variable Inputs'!$C$27,'Probabilities &amp; Price Slide'!$P$33:$T$370,3,TRUE))), K12=4, ('Variable Inputs'!$C$28+(VLOOKUP('Variable Inputs'!$C$27,'Probabilities &amp; Price Slide'!$P$33:$T$370,3,TRUE))), K12=11, ('Variable Inputs'!$C$28+(VLOOKUP('Variable Inputs'!$C$27,'Probabilities &amp; Price Slide'!$P$33:$T$370,3,TRUE))), K12=5, 'Variable Inputs'!$C$28, K12=6, 'Variable Inputs'!$C$28, K12=7, 'Variable Inputs'!$C$28, K12=8, 'Variable Inputs'!$C$28, K12=9, 'Variable Inputs'!$C$28, K12=10, 'Variable Inputs'!$C$28)))-vc))))))</f>
        <v>650</v>
      </c>
      <c r="L15" s="105" cm="1">
        <f t="array" ref="L15">IF(L14=" "," ",(IF(K13=on,-vc,(IF(K13=on-1,-vc,((('Variable Inputs'!$C$27-(VLOOKUP(L12, 'Probabilities &amp; Price Slide'!$B$20:$E$29,4, FALSE)))*(_xlfn.IFS(L12=2, ('Variable Inputs'!$C$28+(VLOOKUP('Variable Inputs'!$C$27,'Probabilities &amp; Price Slide'!$P$33:$T$370,3,TRUE))), L12=3, ('Variable Inputs'!$C$28+(VLOOKUP('Variable Inputs'!$C$27,'Probabilities &amp; Price Slide'!$P$33:$T$370,3,TRUE))), L12=4, ('Variable Inputs'!$C$28+(VLOOKUP('Variable Inputs'!$C$27,'Probabilities &amp; Price Slide'!$P$33:$T$370,3,TRUE))), L12=11, ('Variable Inputs'!$C$28+(VLOOKUP('Variable Inputs'!$C$27,'Probabilities &amp; Price Slide'!$P$33:$T$370,3,TRUE))), L12=5, 'Variable Inputs'!$C$28, L12=6, 'Variable Inputs'!$C$28, L12=7, 'Variable Inputs'!$C$28, L12=8, 'Variable Inputs'!$C$28, L12=9, 'Variable Inputs'!$C$28, L12=10, 'Variable Inputs'!$C$28)))-vc))))))</f>
        <v>650</v>
      </c>
      <c r="M15" s="105" cm="1">
        <f t="array" ref="M15">IF(M14=" "," ",(IF(L13=on,-vc,(IF(L13=on-1,-vc,((('Variable Inputs'!$C$27-(VLOOKUP(M12, 'Probabilities &amp; Price Slide'!$B$20:$E$29,4, FALSE)))*(_xlfn.IFS(M12=2, ('Variable Inputs'!$C$28+(VLOOKUP('Variable Inputs'!$C$27,'Probabilities &amp; Price Slide'!$P$33:$T$370,3,TRUE))), M12=3, ('Variable Inputs'!$C$28+(VLOOKUP('Variable Inputs'!$C$27,'Probabilities &amp; Price Slide'!$P$33:$T$370,3,TRUE))), M12=4, ('Variable Inputs'!$C$28+(VLOOKUP('Variable Inputs'!$C$27,'Probabilities &amp; Price Slide'!$P$33:$T$370,3,TRUE))), M12=11, ('Variable Inputs'!$C$28+(VLOOKUP('Variable Inputs'!$C$27,'Probabilities &amp; Price Slide'!$P$33:$T$370,3,TRUE))), M12=5, 'Variable Inputs'!$C$28, M12=6, 'Variable Inputs'!$C$28, M12=7, 'Variable Inputs'!$C$28, M12=8, 'Variable Inputs'!$C$28, M12=9, 'Variable Inputs'!$C$28, M12=10, 'Variable Inputs'!$C$28)))-vc))))))</f>
        <v>561.52851487382088</v>
      </c>
      <c r="N15" s="105" t="str" cm="1">
        <f t="array" ref="N15">IF(N14=" "," ",(IF(M13=on,-vc,(IF(M13=on-1,-vc,((('Variable Inputs'!$C$27-(VLOOKUP(N12, 'Probabilities &amp; Price Slide'!$B$20:$E$29,4, FALSE)))*(_xlfn.IFS(N12=2, ('Variable Inputs'!$C$28+(VLOOKUP('Variable Inputs'!$C$27,'Probabilities &amp; Price Slide'!$P$33:$T$370,3,TRUE))), N12=3, ('Variable Inputs'!$C$28+(VLOOKUP('Variable Inputs'!$C$27,'Probabilities &amp; Price Slide'!$P$33:$T$370,3,TRUE))), N12=4, ('Variable Inputs'!$C$28+(VLOOKUP('Variable Inputs'!$C$27,'Probabilities &amp; Price Slide'!$P$33:$T$370,3,TRUE))), N12=11, ('Variable Inputs'!$C$28+(VLOOKUP('Variable Inputs'!$C$27,'Probabilities &amp; Price Slide'!$P$33:$T$370,3,TRUE))), N12=5, 'Variable Inputs'!$C$28, N12=6, 'Variable Inputs'!$C$28, N12=7, 'Variable Inputs'!$C$28, N12=8, 'Variable Inputs'!$C$28, N12=9, 'Variable Inputs'!$C$28, N12=10, 'Variable Inputs'!$C$28)))-vc))))))</f>
        <v xml:space="preserve"> </v>
      </c>
      <c r="O15" s="105" t="str" cm="1">
        <f t="array" ref="O15">IF(O14=" "," ",(IF(N13=on,-vc,(IF(N13=on-1,-vc,((('Variable Inputs'!$C$27-(VLOOKUP(O12, 'Probabilities &amp; Price Slide'!$B$20:$E$29,4, FALSE)))*(_xlfn.IFS(O12=2, ('Variable Inputs'!$C$28+(VLOOKUP('Variable Inputs'!$C$27,'Probabilities &amp; Price Slide'!$P$33:$T$370,3,TRUE))), O12=3, ('Variable Inputs'!$C$28+(VLOOKUP('Variable Inputs'!$C$27,'Probabilities &amp; Price Slide'!$P$33:$T$370,3,TRUE))), O12=4, ('Variable Inputs'!$C$28+(VLOOKUP('Variable Inputs'!$C$27,'Probabilities &amp; Price Slide'!$P$33:$T$370,3,TRUE))), O12=11, ('Variable Inputs'!$C$28+(VLOOKUP('Variable Inputs'!$C$27,'Probabilities &amp; Price Slide'!$P$33:$T$370,3,TRUE))), O12=5, 'Variable Inputs'!$C$28, O12=6, 'Variable Inputs'!$C$28, O12=7, 'Variable Inputs'!$C$28, O12=8, 'Variable Inputs'!$C$28, O12=9, 'Variable Inputs'!$C$28, O12=10, 'Variable Inputs'!$C$28)))-vc))))))</f>
        <v xml:space="preserve"> </v>
      </c>
      <c r="Q15" s="13"/>
    </row>
    <row r="16" spans="1:29" x14ac:dyDescent="0.3">
      <c r="A16" s="103" t="s">
        <v>28</v>
      </c>
      <c r="B16" s="103"/>
      <c r="C16" s="105" t="str">
        <f>IF(C5=1,(-'Variable Inputs'!$C$36*'Variable Inputs'!$C$37),(IF(PC&gt;B13,(IF(D13=" ",(IF(C12&gt;8,'Variable Inputs'!$C$36*('Variable Inputs'!$C$37+'Probabilities &amp; Price Slide'!$B$38), S))," "))," ")))</f>
        <v xml:space="preserve"> </v>
      </c>
      <c r="D16" s="105">
        <f>IF(D5=1,(-'Variable Inputs'!$C$36*'Variable Inputs'!$C$37),(IF(PC&gt;C13,(IF(E13=" ",(IF(D12&gt;8,'Variable Inputs'!$C$36*('Variable Inputs'!$C$37+'Probabilities &amp; Price Slide'!$B$38), S))," "))," ")))</f>
        <v>-1080</v>
      </c>
      <c r="E16" s="105" t="str">
        <f>IF(E5=1,(-'Variable Inputs'!$C$36*'Variable Inputs'!$C$37),(IF(PC&gt;D13,(IF(F13=" ",(IF(E12&gt;8,'Variable Inputs'!$C$36*('Variable Inputs'!$C$37+'Probabilities &amp; Price Slide'!$B$38), S))," "))," ")))</f>
        <v xml:space="preserve"> </v>
      </c>
      <c r="F16" s="105" t="str">
        <f>IF(F5=1,(-'Variable Inputs'!$C$36*'Variable Inputs'!$C$37),(IF(PC&gt;E13,(IF(G13=" ",(IF(F12&gt;8,'Variable Inputs'!$C$36*('Variable Inputs'!$C$37+'Probabilities &amp; Price Slide'!$B$38), S))," "))," ")))</f>
        <v xml:space="preserve"> </v>
      </c>
      <c r="G16" s="105" t="str">
        <f>IF(G5=1,(-'Variable Inputs'!$C$36*'Variable Inputs'!$C$37),(IF(PC&gt;F13,(IF(H13=" ",(IF(G12&gt;8,'Variable Inputs'!$C$36*('Variable Inputs'!$C$37+'Probabilities &amp; Price Slide'!$B$38), S))," "))," ")))</f>
        <v xml:space="preserve"> </v>
      </c>
      <c r="H16" s="105" t="str">
        <f>IF(H5=1,(-'Variable Inputs'!$C$36*'Variable Inputs'!$C$37),(IF(PC&gt;G13,(IF(I13=" ",(IF(H12&gt;8,'Variable Inputs'!$C$36*('Variable Inputs'!$C$37+'Probabilities &amp; Price Slide'!$B$38), S))," "))," ")))</f>
        <v xml:space="preserve"> </v>
      </c>
      <c r="I16" s="105" t="str">
        <f>IF(I5=1,(-'Variable Inputs'!$C$36*'Variable Inputs'!$C$37),(IF(PC&gt;H13,(IF(J13=" ",(IF(I12&gt;8,'Variable Inputs'!$C$36*('Variable Inputs'!$C$37+'Probabilities &amp; Price Slide'!$B$38), S))," "))," ")))</f>
        <v xml:space="preserve"> </v>
      </c>
      <c r="J16" s="105" t="str">
        <f>IF(J5=1,(-'Variable Inputs'!$C$36*'Variable Inputs'!$C$37),(IF(PC&gt;I13,(IF(K13=" ",(IF(J12&gt;8,'Variable Inputs'!$C$36*('Variable Inputs'!$C$37+'Probabilities &amp; Price Slide'!$B$38), S))," "))," ")))</f>
        <v xml:space="preserve"> </v>
      </c>
      <c r="K16" s="105" t="str">
        <f>IF(K5=1,(-'Variable Inputs'!$C$36*'Variable Inputs'!$C$37),(IF(PC&gt;J13,(IF(L13=" ",(IF(K12&gt;8,'Variable Inputs'!$C$36*('Variable Inputs'!$C$37+'Probabilities &amp; Price Slide'!$B$38), S))," "))," ")))</f>
        <v xml:space="preserve"> </v>
      </c>
      <c r="L16" s="105" t="str">
        <f>IF(L5=1,(-'Variable Inputs'!$C$36*'Variable Inputs'!$C$37),(IF(PC&gt;K13,(IF(M13=" ",(IF(L12&gt;8,'Variable Inputs'!$C$36*('Variable Inputs'!$C$37+'Probabilities &amp; Price Slide'!$B$38), S))," "))," ")))</f>
        <v xml:space="preserve"> </v>
      </c>
      <c r="M16" s="105">
        <f>IF(M5=1,(-'Variable Inputs'!$C$36*'Variable Inputs'!$C$37),(IF(PC&gt;L13,(IF(N13=" ",(IF(M12&gt;8,'Variable Inputs'!$C$36*('Variable Inputs'!$C$37+'Probabilities &amp; Price Slide'!$B$38), S))," "))," ")))</f>
        <v>810</v>
      </c>
      <c r="N16" s="105" t="str">
        <f>IF(N5=1,(-'Variable Inputs'!$C$36*'Variable Inputs'!$C$37),(IF(PC&gt;M13,(IF(O13=" ",(IF(N12&gt;8,'Variable Inputs'!$C$36*('Variable Inputs'!$C$37+'Probabilities &amp; Price Slide'!$B$38), S))," "))," ")))</f>
        <v xml:space="preserve"> </v>
      </c>
      <c r="O16" s="105" t="str">
        <f>IF(O5=1,(-'Variable Inputs'!$C$36*'Variable Inputs'!$C$37),(IF(PC&gt;N13,(IF(P13=" ",(IF(O12&gt;8,'Variable Inputs'!$C$36*('Variable Inputs'!$C$37+'Probabilities &amp; Price Slide'!$B$38), S))," "))," ")))</f>
        <v xml:space="preserve"> </v>
      </c>
      <c r="Q16" s="13"/>
    </row>
    <row r="17" spans="1:29" ht="15" thickBot="1" x14ac:dyDescent="0.35">
      <c r="A17" s="103" t="s">
        <v>45</v>
      </c>
      <c r="C17" s="106" t="str">
        <f>IF(C14=" "," ",(SUM(C15:C16)))</f>
        <v xml:space="preserve"> </v>
      </c>
      <c r="D17" s="106">
        <f t="shared" ref="D17:O17" si="10">IF(D14=" "," ",(SUM(D15:D16)))</f>
        <v>-1530</v>
      </c>
      <c r="E17" s="106">
        <f t="shared" si="10"/>
        <v>-450</v>
      </c>
      <c r="F17" s="106">
        <f t="shared" si="10"/>
        <v>561.52851487382088</v>
      </c>
      <c r="G17" s="106">
        <f t="shared" si="10"/>
        <v>650</v>
      </c>
      <c r="H17" s="106">
        <f t="shared" si="10"/>
        <v>650</v>
      </c>
      <c r="I17" s="106">
        <f t="shared" si="10"/>
        <v>650</v>
      </c>
      <c r="J17" s="106">
        <f t="shared" si="10"/>
        <v>650</v>
      </c>
      <c r="K17" s="106">
        <f t="shared" si="10"/>
        <v>650</v>
      </c>
      <c r="L17" s="106">
        <f t="shared" si="10"/>
        <v>650</v>
      </c>
      <c r="M17" s="106">
        <f t="shared" si="10"/>
        <v>1371.5285148738208</v>
      </c>
      <c r="N17" s="106" t="str">
        <f t="shared" si="10"/>
        <v xml:space="preserve"> </v>
      </c>
      <c r="O17" s="106" t="str">
        <f t="shared" si="10"/>
        <v xml:space="preserve"> </v>
      </c>
      <c r="Q17" s="13"/>
    </row>
    <row r="18" spans="1:29" ht="15" thickBot="1" x14ac:dyDescent="0.35">
      <c r="A18" s="101" t="s">
        <v>46</v>
      </c>
      <c r="B18" s="97"/>
      <c r="C18" s="107" t="str">
        <f>IF(C14=" "," ",(C17*C14))</f>
        <v xml:space="preserve"> </v>
      </c>
      <c r="D18" s="107">
        <f t="shared" ref="D18:O18" si="11">IF(D14=" "," ",(D17*D14))</f>
        <v>-1530</v>
      </c>
      <c r="E18" s="107">
        <f t="shared" si="11"/>
        <v>-428.57142857142856</v>
      </c>
      <c r="F18" s="107">
        <f t="shared" si="11"/>
        <v>509.32291598532504</v>
      </c>
      <c r="G18" s="107">
        <f t="shared" si="11"/>
        <v>561.49443904545944</v>
      </c>
      <c r="H18" s="107">
        <f t="shared" si="11"/>
        <v>534.75660861472329</v>
      </c>
      <c r="I18" s="107">
        <f t="shared" si="11"/>
        <v>509.2920082044983</v>
      </c>
      <c r="J18" s="107">
        <f t="shared" si="11"/>
        <v>485.04000781380796</v>
      </c>
      <c r="K18" s="107">
        <f t="shared" si="11"/>
        <v>461.94286458457896</v>
      </c>
      <c r="L18" s="107">
        <f t="shared" si="11"/>
        <v>439.94558531864669</v>
      </c>
      <c r="M18" s="107">
        <f t="shared" si="11"/>
        <v>884.09950953461862</v>
      </c>
      <c r="N18" s="107" t="str">
        <f t="shared" si="11"/>
        <v xml:space="preserve"> </v>
      </c>
      <c r="O18" s="107" t="str">
        <f t="shared" si="11"/>
        <v xml:space="preserve"> </v>
      </c>
      <c r="P18" s="9">
        <f>SUM(C18:O18)</f>
        <v>2427.3225105302299</v>
      </c>
      <c r="Q18" s="91" t="s">
        <v>57</v>
      </c>
    </row>
    <row r="19" spans="1:29" x14ac:dyDescent="0.3">
      <c r="A19" s="103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21"/>
      <c r="Q19" s="42"/>
    </row>
    <row r="20" spans="1:29" ht="17.25" customHeight="1" x14ac:dyDescent="0.3">
      <c r="A20" s="103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21"/>
      <c r="Q20" s="42"/>
    </row>
    <row r="21" spans="1:29" x14ac:dyDescent="0.3">
      <c r="A21" s="10" t="s">
        <v>48</v>
      </c>
      <c r="B21" s="119"/>
      <c r="C21" s="120"/>
      <c r="H21" s="118"/>
      <c r="Q21" s="13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</row>
    <row r="22" spans="1:29" x14ac:dyDescent="0.3">
      <c r="A22" s="101" t="s">
        <v>42</v>
      </c>
      <c r="B22" s="101"/>
      <c r="C22" s="116">
        <f>C23+1</f>
        <v>1</v>
      </c>
      <c r="D22" s="116">
        <f t="shared" ref="D22" si="12">D23+1</f>
        <v>2</v>
      </c>
      <c r="E22" s="116">
        <f>D22+1</f>
        <v>3</v>
      </c>
      <c r="F22" s="116">
        <f t="shared" ref="F22:O22" si="13">E22+1</f>
        <v>4</v>
      </c>
      <c r="G22" s="116">
        <f t="shared" si="13"/>
        <v>5</v>
      </c>
      <c r="H22" s="116">
        <f t="shared" si="13"/>
        <v>6</v>
      </c>
      <c r="I22" s="116">
        <f t="shared" si="13"/>
        <v>7</v>
      </c>
      <c r="J22" s="116">
        <f t="shared" si="13"/>
        <v>8</v>
      </c>
      <c r="K22" s="116">
        <f t="shared" si="13"/>
        <v>9</v>
      </c>
      <c r="L22" s="116">
        <f t="shared" si="13"/>
        <v>10</v>
      </c>
      <c r="M22" s="116">
        <f t="shared" si="13"/>
        <v>11</v>
      </c>
      <c r="N22" s="116">
        <f t="shared" si="13"/>
        <v>12</v>
      </c>
      <c r="O22" s="116">
        <f t="shared" si="13"/>
        <v>13</v>
      </c>
      <c r="Q22" s="13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</row>
    <row r="23" spans="1:29" x14ac:dyDescent="0.3">
      <c r="A23" s="101" t="s">
        <v>43</v>
      </c>
      <c r="B23" s="101"/>
      <c r="C23" s="116">
        <v>0</v>
      </c>
      <c r="D23" s="116">
        <v>1</v>
      </c>
      <c r="E23" s="116">
        <f t="shared" ref="E23:P23" si="14">IF(PC&gt;D23, D23+1, " ")</f>
        <v>2</v>
      </c>
      <c r="F23" s="116">
        <f t="shared" si="14"/>
        <v>3</v>
      </c>
      <c r="G23" s="116">
        <f t="shared" si="14"/>
        <v>4</v>
      </c>
      <c r="H23" s="116">
        <f t="shared" si="14"/>
        <v>5</v>
      </c>
      <c r="I23" s="116">
        <f t="shared" si="14"/>
        <v>6</v>
      </c>
      <c r="J23" s="116">
        <f t="shared" si="14"/>
        <v>7</v>
      </c>
      <c r="K23" s="116">
        <f t="shared" si="14"/>
        <v>8</v>
      </c>
      <c r="L23" s="116">
        <f t="shared" si="14"/>
        <v>9</v>
      </c>
      <c r="M23" s="116">
        <f t="shared" si="14"/>
        <v>10</v>
      </c>
      <c r="N23" s="116" t="str">
        <f t="shared" si="14"/>
        <v xml:space="preserve"> </v>
      </c>
      <c r="O23" s="116" t="str">
        <f t="shared" si="14"/>
        <v xml:space="preserve"> </v>
      </c>
      <c r="P23" s="11" t="str">
        <f t="shared" si="14"/>
        <v xml:space="preserve"> </v>
      </c>
      <c r="Q23" s="13"/>
      <c r="AA23" s="31"/>
      <c r="AB23" s="31"/>
      <c r="AC23" s="31"/>
    </row>
    <row r="24" spans="1:29" x14ac:dyDescent="0.3">
      <c r="A24" s="101" t="s">
        <v>44</v>
      </c>
      <c r="B24" s="101"/>
      <c r="C24" s="102" t="str">
        <f t="shared" ref="C24:O24" si="15">IF(C23=" ", " ", (IF(C23&gt;=on, (1/(1+i)^(C23-on))," ")))</f>
        <v xml:space="preserve"> </v>
      </c>
      <c r="D24" s="102">
        <f t="shared" si="15"/>
        <v>1</v>
      </c>
      <c r="E24" s="102">
        <f t="shared" si="15"/>
        <v>0.95238095238095233</v>
      </c>
      <c r="F24" s="102">
        <f t="shared" si="15"/>
        <v>0.90702947845804982</v>
      </c>
      <c r="G24" s="102">
        <f t="shared" si="15"/>
        <v>0.86383759853147601</v>
      </c>
      <c r="H24" s="102">
        <f t="shared" si="15"/>
        <v>0.82270247479188197</v>
      </c>
      <c r="I24" s="102">
        <f t="shared" si="15"/>
        <v>0.78352616646845896</v>
      </c>
      <c r="J24" s="102">
        <f t="shared" si="15"/>
        <v>0.74621539663662761</v>
      </c>
      <c r="K24" s="102">
        <f t="shared" si="15"/>
        <v>0.71068133013012147</v>
      </c>
      <c r="L24" s="102">
        <f t="shared" si="15"/>
        <v>0.67683936202868722</v>
      </c>
      <c r="M24" s="102">
        <f t="shared" si="15"/>
        <v>0.64460891621779726</v>
      </c>
      <c r="N24" s="102" t="str">
        <f t="shared" si="15"/>
        <v xml:space="preserve"> </v>
      </c>
      <c r="O24" s="102" t="str">
        <f t="shared" si="15"/>
        <v xml:space="preserve"> </v>
      </c>
      <c r="Q24" s="13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</row>
    <row r="25" spans="1:29" x14ac:dyDescent="0.3">
      <c r="A25" s="103" t="s">
        <v>27</v>
      </c>
      <c r="B25" s="103"/>
      <c r="C25" s="105" t="str">
        <f t="shared" ref="C25:O25" si="16">IF(C24=" "," ",(IF(C23=on,-vc,0)))</f>
        <v xml:space="preserve"> </v>
      </c>
      <c r="D25" s="105">
        <f t="shared" si="16"/>
        <v>-450</v>
      </c>
      <c r="E25" s="105">
        <f t="shared" si="16"/>
        <v>0</v>
      </c>
      <c r="F25" s="105">
        <f t="shared" si="16"/>
        <v>0</v>
      </c>
      <c r="G25" s="105">
        <f t="shared" si="16"/>
        <v>0</v>
      </c>
      <c r="H25" s="105">
        <f t="shared" si="16"/>
        <v>0</v>
      </c>
      <c r="I25" s="105">
        <f t="shared" si="16"/>
        <v>0</v>
      </c>
      <c r="J25" s="105">
        <f t="shared" si="16"/>
        <v>0</v>
      </c>
      <c r="K25" s="105">
        <f t="shared" si="16"/>
        <v>0</v>
      </c>
      <c r="L25" s="105">
        <f t="shared" si="16"/>
        <v>0</v>
      </c>
      <c r="M25" s="105">
        <f t="shared" si="16"/>
        <v>0</v>
      </c>
      <c r="N25" s="105" t="str">
        <f t="shared" si="16"/>
        <v xml:space="preserve"> </v>
      </c>
      <c r="O25" s="105" t="str">
        <f t="shared" si="16"/>
        <v xml:space="preserve"> </v>
      </c>
      <c r="Q25" s="13"/>
    </row>
    <row r="26" spans="1:29" x14ac:dyDescent="0.3">
      <c r="A26" s="103" t="s">
        <v>28</v>
      </c>
      <c r="B26" s="103"/>
      <c r="C26" s="105" t="str">
        <f>IF(PC&gt;B23,(IF(C25=-vc,(IF(C22&gt;8,'Variable Inputs'!$C$36*('Variable Inputs'!$C$37+'Probabilities &amp; Price Slide'!$B$38), S))," "))," ")</f>
        <v xml:space="preserve"> </v>
      </c>
      <c r="D26" s="105">
        <f>IF(PC&gt;C23,(IF(D25=-vc,(IF(D22&gt;8,'Variable Inputs'!$C$36*('Variable Inputs'!$C$37+'Probabilities &amp; Price Slide'!$B$38), S))," "))," ")</f>
        <v>1080</v>
      </c>
      <c r="E26" s="105" t="str">
        <f>IF(PC&gt;D23,(IF(E25=-vc,(IF(E22&gt;8,'Variable Inputs'!$C$36*('Variable Inputs'!$C$37+'Probabilities &amp; Price Slide'!$B$38), S))," "))," ")</f>
        <v xml:space="preserve"> </v>
      </c>
      <c r="F26" s="105" t="str">
        <f>IF(PC&gt;E23,(IF(F25=-vc,(IF(F22&gt;8,'Variable Inputs'!$C$36*('Variable Inputs'!$C$37+'Probabilities &amp; Price Slide'!$B$38), S))," "))," ")</f>
        <v xml:space="preserve"> </v>
      </c>
      <c r="G26" s="105" t="str">
        <f>IF(PC&gt;F23,(IF(G25=-vc,(IF(G22&gt;8,'Variable Inputs'!$C$36*('Variable Inputs'!$C$37+'Probabilities &amp; Price Slide'!$B$38), S))," "))," ")</f>
        <v xml:space="preserve"> </v>
      </c>
      <c r="H26" s="105" t="str">
        <f>IF(PC&gt;G23,(IF(H25=-vc,(IF(H22&gt;8,'Variable Inputs'!$C$36*('Variable Inputs'!$C$37+'Probabilities &amp; Price Slide'!$B$38), S))," "))," ")</f>
        <v xml:space="preserve"> </v>
      </c>
      <c r="I26" s="105" t="str">
        <f>IF(PC&gt;H23,(IF(I25=-vc,(IF(I22&gt;8,'Variable Inputs'!$C$36*('Variable Inputs'!$C$37+'Probabilities &amp; Price Slide'!$B$38), S))," "))," ")</f>
        <v xml:space="preserve"> </v>
      </c>
      <c r="J26" s="105" t="str">
        <f>IF(PC&gt;I23,(IF(J25=-vc,(IF(J22&gt;8,'Variable Inputs'!$C$36*('Variable Inputs'!$C$37+'Probabilities &amp; Price Slide'!$B$38), S))," "))," ")</f>
        <v xml:space="preserve"> </v>
      </c>
      <c r="K26" s="105" t="str">
        <f>IF(PC&gt;J23,(IF(K25=-vc,(IF(K22&gt;8,'Variable Inputs'!$C$36*('Variable Inputs'!$C$37+'Probabilities &amp; Price Slide'!$B$38), S))," "))," ")</f>
        <v xml:space="preserve"> </v>
      </c>
      <c r="L26" s="105" t="str">
        <f>IF(PC&gt;K23,(IF(L25=-vc,(IF(L22&gt;8,'Variable Inputs'!$C$36*('Variable Inputs'!$C$37+'Probabilities &amp; Price Slide'!$B$38), S))," "))," ")</f>
        <v xml:space="preserve"> </v>
      </c>
      <c r="M26" s="105" t="str">
        <f>IF(PC&gt;L23,(IF(M25=-vc,(IF(M22&gt;8,'Variable Inputs'!$C$36*('Variable Inputs'!$C$37+'Probabilities &amp; Price Slide'!$B$38), S))," "))," ")</f>
        <v xml:space="preserve"> </v>
      </c>
      <c r="N26" s="105" t="str">
        <f>IF(PC&gt;M23,(IF(N25=-vc,(IF(N22&gt;8,'Variable Inputs'!$C$36*('Variable Inputs'!$C$37+'Probabilities &amp; Price Slide'!$B$38), S))," "))," ")</f>
        <v xml:space="preserve"> </v>
      </c>
      <c r="O26" s="105" t="str">
        <f>IF(PC&gt;N23,(IF(O25=-vc,(IF(O22&gt;8,'Variable Inputs'!$C$36*('Variable Inputs'!$C$37+'Probabilities &amp; Price Slide'!$B$38), S))," "))," ")</f>
        <v xml:space="preserve"> </v>
      </c>
      <c r="Q26" s="13"/>
    </row>
    <row r="27" spans="1:29" ht="15" thickBot="1" x14ac:dyDescent="0.35">
      <c r="A27" s="103" t="s">
        <v>45</v>
      </c>
      <c r="C27" s="106" t="str">
        <f>IF(C24=" "," ",(SUM(C25:C26)))</f>
        <v xml:space="preserve"> </v>
      </c>
      <c r="D27" s="106">
        <f t="shared" ref="D27:O27" si="17">IF(D24=" "," ",(SUM(D25:D26)))</f>
        <v>630</v>
      </c>
      <c r="E27" s="106">
        <f t="shared" si="17"/>
        <v>0</v>
      </c>
      <c r="F27" s="106">
        <f t="shared" si="17"/>
        <v>0</v>
      </c>
      <c r="G27" s="106">
        <f t="shared" si="17"/>
        <v>0</v>
      </c>
      <c r="H27" s="106">
        <f t="shared" si="17"/>
        <v>0</v>
      </c>
      <c r="I27" s="106">
        <f t="shared" si="17"/>
        <v>0</v>
      </c>
      <c r="J27" s="106">
        <f t="shared" si="17"/>
        <v>0</v>
      </c>
      <c r="K27" s="106">
        <f t="shared" si="17"/>
        <v>0</v>
      </c>
      <c r="L27" s="106">
        <f t="shared" si="17"/>
        <v>0</v>
      </c>
      <c r="M27" s="106">
        <f t="shared" si="17"/>
        <v>0</v>
      </c>
      <c r="N27" s="106" t="str">
        <f t="shared" si="17"/>
        <v xml:space="preserve"> </v>
      </c>
      <c r="O27" s="106" t="str">
        <f t="shared" si="17"/>
        <v xml:space="preserve"> </v>
      </c>
      <c r="Q27" s="13"/>
    </row>
    <row r="28" spans="1:29" ht="16.5" customHeight="1" thickBot="1" x14ac:dyDescent="0.35">
      <c r="A28" s="101" t="s">
        <v>46</v>
      </c>
      <c r="B28" s="97"/>
      <c r="C28" s="107" t="str">
        <f>IF(C24=" "," ",(C27*C24))</f>
        <v xml:space="preserve"> </v>
      </c>
      <c r="D28" s="107">
        <f t="shared" ref="D28:O28" si="18">IF(D24=" "," ",(D27*D24))</f>
        <v>630</v>
      </c>
      <c r="E28" s="107">
        <f t="shared" si="18"/>
        <v>0</v>
      </c>
      <c r="F28" s="107">
        <f t="shared" si="18"/>
        <v>0</v>
      </c>
      <c r="G28" s="107">
        <f t="shared" si="18"/>
        <v>0</v>
      </c>
      <c r="H28" s="107">
        <f t="shared" si="18"/>
        <v>0</v>
      </c>
      <c r="I28" s="107">
        <f t="shared" si="18"/>
        <v>0</v>
      </c>
      <c r="J28" s="107">
        <f t="shared" si="18"/>
        <v>0</v>
      </c>
      <c r="K28" s="107">
        <f t="shared" si="18"/>
        <v>0</v>
      </c>
      <c r="L28" s="107">
        <f t="shared" si="18"/>
        <v>0</v>
      </c>
      <c r="M28" s="107">
        <f t="shared" si="18"/>
        <v>0</v>
      </c>
      <c r="N28" s="107" t="str">
        <f t="shared" si="18"/>
        <v xml:space="preserve"> </v>
      </c>
      <c r="O28" s="107" t="str">
        <f t="shared" si="18"/>
        <v xml:space="preserve"> </v>
      </c>
      <c r="P28" s="9">
        <f>SUM(C28:O28)</f>
        <v>630</v>
      </c>
      <c r="Q28" s="91" t="s">
        <v>58</v>
      </c>
    </row>
    <row r="29" spans="1:29" ht="16.5" customHeight="1" x14ac:dyDescent="0.3">
      <c r="A29" s="103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21"/>
      <c r="Q29" s="42"/>
    </row>
    <row r="30" spans="1:29" x14ac:dyDescent="0.3">
      <c r="A30" s="10" t="s">
        <v>49</v>
      </c>
      <c r="B30" s="119"/>
      <c r="C30" s="120"/>
      <c r="H30" s="118"/>
      <c r="Q30" s="13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</row>
    <row r="31" spans="1:29" x14ac:dyDescent="0.3">
      <c r="A31" s="101" t="s">
        <v>42</v>
      </c>
      <c r="B31" s="101"/>
      <c r="C31" s="116">
        <f>C32+1</f>
        <v>1</v>
      </c>
      <c r="D31" s="116">
        <f t="shared" ref="D31" si="19">D32+1</f>
        <v>2</v>
      </c>
      <c r="E31" s="116">
        <f>D31+1</f>
        <v>3</v>
      </c>
      <c r="F31" s="116">
        <f t="shared" ref="F31:O31" si="20">E31+1</f>
        <v>4</v>
      </c>
      <c r="G31" s="116">
        <f t="shared" si="20"/>
        <v>5</v>
      </c>
      <c r="H31" s="116">
        <f t="shared" si="20"/>
        <v>6</v>
      </c>
      <c r="I31" s="116">
        <f t="shared" si="20"/>
        <v>7</v>
      </c>
      <c r="J31" s="116">
        <f t="shared" si="20"/>
        <v>8</v>
      </c>
      <c r="K31" s="116">
        <f t="shared" si="20"/>
        <v>9</v>
      </c>
      <c r="L31" s="116">
        <f t="shared" si="20"/>
        <v>10</v>
      </c>
      <c r="M31" s="116">
        <f t="shared" si="20"/>
        <v>11</v>
      </c>
      <c r="N31" s="116">
        <f t="shared" si="20"/>
        <v>12</v>
      </c>
      <c r="O31" s="116">
        <f t="shared" si="20"/>
        <v>13</v>
      </c>
      <c r="Q31" s="13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</row>
    <row r="32" spans="1:29" x14ac:dyDescent="0.3">
      <c r="A32" s="101" t="s">
        <v>43</v>
      </c>
      <c r="B32" s="101"/>
      <c r="C32" s="116">
        <v>0</v>
      </c>
      <c r="D32" s="116">
        <v>1</v>
      </c>
      <c r="E32" s="116">
        <f t="shared" ref="E32:P32" si="21">IF(PC&gt;D32, D32+1, " ")</f>
        <v>2</v>
      </c>
      <c r="F32" s="116">
        <f t="shared" si="21"/>
        <v>3</v>
      </c>
      <c r="G32" s="116">
        <f t="shared" si="21"/>
        <v>4</v>
      </c>
      <c r="H32" s="116">
        <f t="shared" si="21"/>
        <v>5</v>
      </c>
      <c r="I32" s="116">
        <f t="shared" si="21"/>
        <v>6</v>
      </c>
      <c r="J32" s="116">
        <f t="shared" si="21"/>
        <v>7</v>
      </c>
      <c r="K32" s="116">
        <f t="shared" si="21"/>
        <v>8</v>
      </c>
      <c r="L32" s="116">
        <f t="shared" si="21"/>
        <v>9</v>
      </c>
      <c r="M32" s="116">
        <f t="shared" si="21"/>
        <v>10</v>
      </c>
      <c r="N32" s="116" t="str">
        <f t="shared" si="21"/>
        <v xml:space="preserve"> </v>
      </c>
      <c r="O32" s="116" t="str">
        <f t="shared" si="21"/>
        <v xml:space="preserve"> </v>
      </c>
      <c r="P32" s="11" t="str">
        <f t="shared" si="21"/>
        <v xml:space="preserve"> </v>
      </c>
      <c r="Q32" s="13"/>
      <c r="AA32" s="31"/>
      <c r="AB32" s="31"/>
      <c r="AC32" s="31"/>
    </row>
    <row r="33" spans="1:30" x14ac:dyDescent="0.3">
      <c r="A33" s="101" t="s">
        <v>44</v>
      </c>
      <c r="B33" s="101"/>
      <c r="C33" s="102" t="str">
        <f t="shared" ref="C33:O33" si="22">IF(C32=" ", " ", (IF(C32&gt;=on, (1/(1+i)^(C32-on))," ")))</f>
        <v xml:space="preserve"> </v>
      </c>
      <c r="D33" s="102">
        <f t="shared" si="22"/>
        <v>1</v>
      </c>
      <c r="E33" s="102">
        <f t="shared" si="22"/>
        <v>0.95238095238095233</v>
      </c>
      <c r="F33" s="102">
        <f t="shared" si="22"/>
        <v>0.90702947845804982</v>
      </c>
      <c r="G33" s="102">
        <f t="shared" si="22"/>
        <v>0.86383759853147601</v>
      </c>
      <c r="H33" s="102">
        <f t="shared" si="22"/>
        <v>0.82270247479188197</v>
      </c>
      <c r="I33" s="102">
        <f t="shared" si="22"/>
        <v>0.78352616646845896</v>
      </c>
      <c r="J33" s="102">
        <f t="shared" si="22"/>
        <v>0.74621539663662761</v>
      </c>
      <c r="K33" s="102">
        <f t="shared" si="22"/>
        <v>0.71068133013012147</v>
      </c>
      <c r="L33" s="102">
        <f t="shared" si="22"/>
        <v>0.67683936202868722</v>
      </c>
      <c r="M33" s="102">
        <f t="shared" si="22"/>
        <v>0.64460891621779726</v>
      </c>
      <c r="N33" s="102" t="str">
        <f t="shared" si="22"/>
        <v xml:space="preserve"> </v>
      </c>
      <c r="O33" s="102" t="str">
        <f t="shared" si="22"/>
        <v xml:space="preserve"> </v>
      </c>
      <c r="Q33" s="13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</row>
    <row r="34" spans="1:30" x14ac:dyDescent="0.3">
      <c r="A34" s="103" t="s">
        <v>27</v>
      </c>
      <c r="B34" s="103"/>
      <c r="C34" s="105" t="str">
        <f t="shared" ref="C34:O34" si="23">IF(C33=" "," ",(IF(C32=on,-vc,0)))</f>
        <v xml:space="preserve"> </v>
      </c>
      <c r="D34" s="105">
        <f t="shared" si="23"/>
        <v>-450</v>
      </c>
      <c r="E34" s="105">
        <f t="shared" si="23"/>
        <v>0</v>
      </c>
      <c r="F34" s="105">
        <f t="shared" si="23"/>
        <v>0</v>
      </c>
      <c r="G34" s="105">
        <f t="shared" si="23"/>
        <v>0</v>
      </c>
      <c r="H34" s="105">
        <f t="shared" si="23"/>
        <v>0</v>
      </c>
      <c r="I34" s="105">
        <f t="shared" si="23"/>
        <v>0</v>
      </c>
      <c r="J34" s="105">
        <f t="shared" si="23"/>
        <v>0</v>
      </c>
      <c r="K34" s="105">
        <f t="shared" si="23"/>
        <v>0</v>
      </c>
      <c r="L34" s="105">
        <f t="shared" si="23"/>
        <v>0</v>
      </c>
      <c r="M34" s="105">
        <f t="shared" si="23"/>
        <v>0</v>
      </c>
      <c r="N34" s="105" t="str">
        <f t="shared" si="23"/>
        <v xml:space="preserve"> </v>
      </c>
      <c r="O34" s="105" t="str">
        <f t="shared" si="23"/>
        <v xml:space="preserve"> </v>
      </c>
      <c r="Q34" s="13"/>
    </row>
    <row r="35" spans="1:30" x14ac:dyDescent="0.3">
      <c r="A35" s="103" t="s">
        <v>28</v>
      </c>
      <c r="B35" s="103"/>
      <c r="C35" s="105" t="str">
        <f t="shared" ref="C35:O35" si="24">IF(PC&gt;B32,(IF(C34=-vc,0," "))," ")</f>
        <v xml:space="preserve"> </v>
      </c>
      <c r="D35" s="105">
        <f t="shared" si="24"/>
        <v>0</v>
      </c>
      <c r="E35" s="105" t="str">
        <f t="shared" si="24"/>
        <v xml:space="preserve"> </v>
      </c>
      <c r="F35" s="105" t="str">
        <f t="shared" si="24"/>
        <v xml:space="preserve"> </v>
      </c>
      <c r="G35" s="105" t="str">
        <f t="shared" si="24"/>
        <v xml:space="preserve"> </v>
      </c>
      <c r="H35" s="105" t="str">
        <f t="shared" si="24"/>
        <v xml:space="preserve"> </v>
      </c>
      <c r="I35" s="105" t="str">
        <f t="shared" si="24"/>
        <v xml:space="preserve"> </v>
      </c>
      <c r="J35" s="105" t="str">
        <f t="shared" si="24"/>
        <v xml:space="preserve"> </v>
      </c>
      <c r="K35" s="105" t="str">
        <f t="shared" si="24"/>
        <v xml:space="preserve"> </v>
      </c>
      <c r="L35" s="105" t="str">
        <f t="shared" si="24"/>
        <v xml:space="preserve"> </v>
      </c>
      <c r="M35" s="105" t="str">
        <f t="shared" si="24"/>
        <v xml:space="preserve"> </v>
      </c>
      <c r="N35" s="105" t="str">
        <f t="shared" si="24"/>
        <v xml:space="preserve"> </v>
      </c>
      <c r="O35" s="105" t="str">
        <f t="shared" si="24"/>
        <v xml:space="preserve"> </v>
      </c>
      <c r="Q35" s="13"/>
    </row>
    <row r="36" spans="1:30" ht="15" thickBot="1" x14ac:dyDescent="0.35">
      <c r="A36" s="103" t="s">
        <v>45</v>
      </c>
      <c r="C36" s="106" t="str">
        <f>IF(C33=" "," ",(SUM(C34:C35)))</f>
        <v xml:space="preserve"> </v>
      </c>
      <c r="D36" s="106">
        <f t="shared" ref="D36:O36" si="25">IF(D33=" "," ",(SUM(D34:D35)))</f>
        <v>-450</v>
      </c>
      <c r="E36" s="106">
        <f t="shared" si="25"/>
        <v>0</v>
      </c>
      <c r="F36" s="106">
        <f t="shared" si="25"/>
        <v>0</v>
      </c>
      <c r="G36" s="106">
        <f t="shared" si="25"/>
        <v>0</v>
      </c>
      <c r="H36" s="106">
        <f t="shared" si="25"/>
        <v>0</v>
      </c>
      <c r="I36" s="106">
        <f t="shared" si="25"/>
        <v>0</v>
      </c>
      <c r="J36" s="106">
        <f t="shared" si="25"/>
        <v>0</v>
      </c>
      <c r="K36" s="106">
        <f t="shared" si="25"/>
        <v>0</v>
      </c>
      <c r="L36" s="106">
        <f t="shared" si="25"/>
        <v>0</v>
      </c>
      <c r="M36" s="106">
        <f t="shared" si="25"/>
        <v>0</v>
      </c>
      <c r="N36" s="106" t="str">
        <f t="shared" si="25"/>
        <v xml:space="preserve"> </v>
      </c>
      <c r="O36" s="106" t="str">
        <f t="shared" si="25"/>
        <v xml:space="preserve"> </v>
      </c>
      <c r="Q36" s="13"/>
    </row>
    <row r="37" spans="1:30" ht="16.5" customHeight="1" thickBot="1" x14ac:dyDescent="0.35">
      <c r="A37" s="101" t="s">
        <v>46</v>
      </c>
      <c r="B37" s="97"/>
      <c r="C37" s="107" t="str">
        <f>IF(C33=" "," ",(C36*C33))</f>
        <v xml:space="preserve"> </v>
      </c>
      <c r="D37" s="107">
        <f t="shared" ref="D37:O37" si="26">IF(D33=" "," ",(D36*D33))</f>
        <v>-450</v>
      </c>
      <c r="E37" s="107">
        <f t="shared" si="26"/>
        <v>0</v>
      </c>
      <c r="F37" s="107">
        <f t="shared" si="26"/>
        <v>0</v>
      </c>
      <c r="G37" s="107">
        <f t="shared" si="26"/>
        <v>0</v>
      </c>
      <c r="H37" s="107">
        <f t="shared" si="26"/>
        <v>0</v>
      </c>
      <c r="I37" s="107">
        <f t="shared" si="26"/>
        <v>0</v>
      </c>
      <c r="J37" s="107">
        <f t="shared" si="26"/>
        <v>0</v>
      </c>
      <c r="K37" s="107">
        <f t="shared" si="26"/>
        <v>0</v>
      </c>
      <c r="L37" s="107">
        <f t="shared" si="26"/>
        <v>0</v>
      </c>
      <c r="M37" s="107">
        <f t="shared" si="26"/>
        <v>0</v>
      </c>
      <c r="N37" s="107" t="str">
        <f t="shared" si="26"/>
        <v xml:space="preserve"> </v>
      </c>
      <c r="O37" s="107" t="str">
        <f t="shared" si="26"/>
        <v xml:space="preserve"> </v>
      </c>
      <c r="P37" s="9">
        <f>SUM(C37:O37)</f>
        <v>-450</v>
      </c>
      <c r="Q37" s="91" t="s">
        <v>59</v>
      </c>
    </row>
    <row r="38" spans="1:30" x14ac:dyDescent="0.3">
      <c r="A38" s="103"/>
      <c r="B38" s="10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</row>
    <row r="39" spans="1:30" s="97" customFormat="1" x14ac:dyDescent="0.3">
      <c r="A39" s="94" t="s">
        <v>60</v>
      </c>
      <c r="B39" s="95"/>
      <c r="C39" s="96"/>
      <c r="H39" s="95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</row>
    <row r="40" spans="1:30" x14ac:dyDescent="0.3">
      <c r="A40" s="100" t="s">
        <v>50</v>
      </c>
      <c r="B40" s="100"/>
      <c r="C40" s="115">
        <f>C41+1</f>
        <v>1</v>
      </c>
      <c r="D40" s="115">
        <f t="shared" ref="D40:AB40" si="27">IF(rn=D41, 2, C40+1)</f>
        <v>2</v>
      </c>
      <c r="E40" s="115">
        <f t="shared" si="27"/>
        <v>2</v>
      </c>
      <c r="F40" s="115">
        <f t="shared" si="27"/>
        <v>3</v>
      </c>
      <c r="G40" s="115">
        <f t="shared" si="27"/>
        <v>4</v>
      </c>
      <c r="H40" s="115">
        <f t="shared" si="27"/>
        <v>5</v>
      </c>
      <c r="I40" s="115">
        <f t="shared" si="27"/>
        <v>6</v>
      </c>
      <c r="J40" s="115">
        <f t="shared" si="27"/>
        <v>7</v>
      </c>
      <c r="K40" s="115">
        <f t="shared" si="27"/>
        <v>8</v>
      </c>
      <c r="L40" s="115">
        <f t="shared" si="27"/>
        <v>9</v>
      </c>
      <c r="M40" s="115">
        <f t="shared" si="27"/>
        <v>10</v>
      </c>
      <c r="N40" s="115">
        <f t="shared" si="27"/>
        <v>11</v>
      </c>
      <c r="O40" s="115">
        <f t="shared" si="27"/>
        <v>12</v>
      </c>
      <c r="P40" s="115">
        <f t="shared" si="27"/>
        <v>13</v>
      </c>
      <c r="Q40" s="115">
        <f t="shared" si="27"/>
        <v>14</v>
      </c>
      <c r="R40" s="115">
        <f t="shared" si="27"/>
        <v>15</v>
      </c>
      <c r="S40" s="115">
        <f t="shared" si="27"/>
        <v>16</v>
      </c>
      <c r="T40" s="115">
        <f t="shared" si="27"/>
        <v>17</v>
      </c>
      <c r="U40" s="115">
        <f t="shared" si="27"/>
        <v>18</v>
      </c>
      <c r="V40" s="115">
        <f t="shared" si="27"/>
        <v>19</v>
      </c>
      <c r="W40" s="115">
        <f t="shared" si="27"/>
        <v>20</v>
      </c>
      <c r="X40" s="115">
        <f t="shared" si="27"/>
        <v>21</v>
      </c>
      <c r="Y40" s="115">
        <f t="shared" si="27"/>
        <v>22</v>
      </c>
      <c r="Z40" s="115">
        <f t="shared" si="27"/>
        <v>23</v>
      </c>
      <c r="AA40" s="115">
        <f t="shared" si="27"/>
        <v>24</v>
      </c>
      <c r="AB40" s="115">
        <f t="shared" si="27"/>
        <v>25</v>
      </c>
      <c r="AC40" s="31"/>
    </row>
    <row r="41" spans="1:30" x14ac:dyDescent="0.3">
      <c r="A41" s="101" t="s">
        <v>43</v>
      </c>
      <c r="B41" s="101"/>
      <c r="C41" s="116">
        <v>0</v>
      </c>
      <c r="D41" s="116">
        <f t="shared" ref="D41:AB41" si="28">IF(C41=(PC+rn)," ",(IF(C41=" "," ",C41+1)))</f>
        <v>1</v>
      </c>
      <c r="E41" s="116">
        <f t="shared" si="28"/>
        <v>2</v>
      </c>
      <c r="F41" s="116">
        <f t="shared" si="28"/>
        <v>3</v>
      </c>
      <c r="G41" s="116">
        <f t="shared" si="28"/>
        <v>4</v>
      </c>
      <c r="H41" s="116">
        <f t="shared" si="28"/>
        <v>5</v>
      </c>
      <c r="I41" s="116">
        <f t="shared" si="28"/>
        <v>6</v>
      </c>
      <c r="J41" s="116">
        <f t="shared" si="28"/>
        <v>7</v>
      </c>
      <c r="K41" s="116">
        <f t="shared" si="28"/>
        <v>8</v>
      </c>
      <c r="L41" s="116">
        <f t="shared" si="28"/>
        <v>9</v>
      </c>
      <c r="M41" s="116">
        <f t="shared" si="28"/>
        <v>10</v>
      </c>
      <c r="N41" s="116">
        <f t="shared" si="28"/>
        <v>11</v>
      </c>
      <c r="O41" s="116">
        <f t="shared" si="28"/>
        <v>12</v>
      </c>
      <c r="P41" s="116" t="str">
        <f t="shared" si="28"/>
        <v xml:space="preserve"> </v>
      </c>
      <c r="Q41" s="116" t="str">
        <f t="shared" si="28"/>
        <v xml:space="preserve"> </v>
      </c>
      <c r="R41" s="116" t="str">
        <f t="shared" si="28"/>
        <v xml:space="preserve"> </v>
      </c>
      <c r="S41" s="116" t="str">
        <f t="shared" si="28"/>
        <v xml:space="preserve"> </v>
      </c>
      <c r="T41" s="116" t="str">
        <f t="shared" si="28"/>
        <v xml:space="preserve"> </v>
      </c>
      <c r="U41" s="116" t="str">
        <f t="shared" si="28"/>
        <v xml:space="preserve"> </v>
      </c>
      <c r="V41" s="116" t="str">
        <f t="shared" si="28"/>
        <v xml:space="preserve"> </v>
      </c>
      <c r="W41" s="116" t="str">
        <f t="shared" si="28"/>
        <v xml:space="preserve"> </v>
      </c>
      <c r="X41" s="116" t="str">
        <f t="shared" si="28"/>
        <v xml:space="preserve"> </v>
      </c>
      <c r="Y41" s="116" t="str">
        <f t="shared" si="28"/>
        <v xml:space="preserve"> </v>
      </c>
      <c r="Z41" s="116" t="str">
        <f t="shared" si="28"/>
        <v xml:space="preserve"> </v>
      </c>
      <c r="AA41" s="116" t="str">
        <f t="shared" si="28"/>
        <v xml:space="preserve"> </v>
      </c>
      <c r="AB41" s="116" t="str">
        <f t="shared" si="28"/>
        <v xml:space="preserve"> </v>
      </c>
      <c r="AC41" s="11" t="str">
        <f>IF(AB41=(PC+3)," ",(IF(AB41=" "," ",AB41+1)))</f>
        <v xml:space="preserve"> </v>
      </c>
    </row>
    <row r="42" spans="1:30" x14ac:dyDescent="0.3">
      <c r="A42" s="101" t="s">
        <v>44</v>
      </c>
      <c r="B42" s="101"/>
      <c r="C42" s="102"/>
      <c r="D42" s="102"/>
      <c r="E42" s="102">
        <f>IF(E41=" ", " ",(IF(Age&lt;'NPV Scenario 2'!E40, " ", (IF(E41&gt;=rn, 1/(1+i)^(E41-rn)," ")))))</f>
        <v>1</v>
      </c>
      <c r="F42" s="102">
        <f>IF(F41=" ", " ",(IF(Age&lt;'NPV Scenario 2'!F40, " ", (IF(F41&gt;=rn, 1/(1+i)^(F41-rn)," ")))))</f>
        <v>0.95238095238095233</v>
      </c>
      <c r="G42" s="102">
        <f>IF(G41=" ", " ",(IF(Age&lt;'NPV Scenario 2'!G40, " ", (IF(G41&gt;=rn, 1/(1+i)^(G41-rn)," ")))))</f>
        <v>0.90702947845804982</v>
      </c>
      <c r="H42" s="102">
        <f>IF(H41=" ", " ",(IF(Age&lt;'NPV Scenario 2'!H40, " ", (IF(H41&gt;=rn, 1/(1+i)^(H41-rn)," ")))))</f>
        <v>0.86383759853147601</v>
      </c>
      <c r="I42" s="102">
        <f>IF(I41=" ", " ",(IF(Age&lt;'NPV Scenario 2'!I40, " ", (IF(I41&gt;=rn, 1/(1+i)^(I41-rn)," ")))))</f>
        <v>0.82270247479188197</v>
      </c>
      <c r="J42" s="102">
        <f>IF(J41=" ", " ",(IF(Age&lt;'NPV Scenario 2'!J40, " ", (IF(J41&gt;=rn, 1/(1+i)^(J41-rn)," ")))))</f>
        <v>0.78352616646845896</v>
      </c>
      <c r="K42" s="102">
        <f>IF(K41=" ", " ",(IF(Age&lt;'NPV Scenario 2'!K40, " ", (IF(K41&gt;=rn, 1/(1+i)^(K41-rn)," ")))))</f>
        <v>0.74621539663662761</v>
      </c>
      <c r="L42" s="102">
        <f>IF(L41=" ", " ",(IF(Age&lt;'NPV Scenario 2'!L40, " ", (IF(L41&gt;=rn, 1/(1+i)^(L41-rn)," ")))))</f>
        <v>0.71068133013012147</v>
      </c>
      <c r="M42" s="102">
        <f>IF(M41=" ", " ",(IF(Age&lt;'NPV Scenario 2'!M40, " ", (IF(M41&gt;=rn, 1/(1+i)^(M41-rn)," ")))))</f>
        <v>0.67683936202868722</v>
      </c>
      <c r="N42" s="102">
        <f>IF(N41=" ", " ",(IF(Age&lt;'NPV Scenario 2'!N40, " ", (IF(N41&gt;=rn, 1/(1+i)^(N41-rn)," ")))))</f>
        <v>0.64460891621779726</v>
      </c>
      <c r="O42" s="102" t="str">
        <f>IF(O41=" ", " ",(IF(Age&lt;'NPV Scenario 2'!O40, " ", (IF(O41&gt;=rn, 1/(1+i)^(O41-rn)," ")))))</f>
        <v xml:space="preserve"> </v>
      </c>
      <c r="P42" s="102" t="str">
        <f>IF(P41=" ", " ",(IF(Age&lt;'NPV Scenario 2'!P40, " ", (IF(P41&gt;=rn, 1/(1+i)^(P41-rn)," ")))))</f>
        <v xml:space="preserve"> </v>
      </c>
      <c r="Q42" s="102" t="str">
        <f>IF(Q41=" ", " ",(IF(Age&lt;'NPV Scenario 2'!Q40, " ", (IF(Q41&gt;=rn, 1/(1+i)^(Q41-rn)," ")))))</f>
        <v xml:space="preserve"> </v>
      </c>
      <c r="R42" s="102" t="str">
        <f>IF(R41=" ", " ",(IF(Age&lt;'NPV Scenario 2'!R40, " ", (IF(R41&gt;=rn, 1/(1+i)^(R41-rn)," ")))))</f>
        <v xml:space="preserve"> </v>
      </c>
      <c r="S42" s="102" t="str">
        <f>IF(S41=" ", " ",(IF(Age&lt;'NPV Scenario 2'!S40, " ", (IF(S41&gt;=rn, 1/(1+i)^(S41-rn)," ")))))</f>
        <v xml:space="preserve"> </v>
      </c>
      <c r="T42" s="102" t="str">
        <f>IF(T41=" ", " ",(IF(Age&lt;'NPV Scenario 2'!T40, " ", (IF(T41&gt;=rn, 1/(1+i)^(T41-rn)," ")))))</f>
        <v xml:space="preserve"> </v>
      </c>
      <c r="U42" s="102" t="str">
        <f>IF(U41=" ", " ",(IF(Age&lt;'NPV Scenario 2'!U40, " ", (IF(U41&gt;=rn, 1/(1+i)^(U41-rn)," ")))))</f>
        <v xml:space="preserve"> </v>
      </c>
      <c r="V42" s="102" t="str">
        <f>IF(V41=" ", " ",(IF(Age&lt;'NPV Scenario 2'!V40, " ", (IF(V41&gt;=rn, 1/(1+i)^(V41-rn)," ")))))</f>
        <v xml:space="preserve"> </v>
      </c>
      <c r="W42" s="102" t="str">
        <f>IF(W41=" ", " ",(IF(Age&lt;'NPV Scenario 2'!W40, " ", (IF(W41&gt;=rn, 1/(1+i)^(W41-rn)," ")))))</f>
        <v xml:space="preserve"> </v>
      </c>
      <c r="X42" s="102" t="str">
        <f>IF(X41=" ", " ",(IF(Age&lt;'NPV Scenario 2'!X40, " ", (IF(X41&gt;=rn, 1/(1+i)^(X41-rn)," ")))))</f>
        <v xml:space="preserve"> </v>
      </c>
      <c r="Y42" s="102" t="str">
        <f>IF(Y41=" ", " ",(IF(Age&lt;'NPV Scenario 2'!Y40, " ", (IF(Y41&gt;=rn, 1/(1+i)^(Y41-rn)," ")))))</f>
        <v xml:space="preserve"> </v>
      </c>
      <c r="Z42" s="102" t="str">
        <f>IF(Z41=" ", " ",(IF(Age&lt;'NPV Scenario 2'!Z40, " ", (IF(Z41&gt;=rn, 1/(1+i)^(Z41-rn)," ")))))</f>
        <v xml:space="preserve"> </v>
      </c>
      <c r="AA42" s="102" t="str">
        <f>IF(AA41=" ", " ",(IF(Age&lt;'NPV Scenario 2'!AA40, " ", (IF(AA41&gt;=rn, 1/(1+i)^(AA41-rn)," ")))))</f>
        <v xml:space="preserve"> </v>
      </c>
      <c r="AB42" s="102" t="str">
        <f>IF(AB41=" ", " ",(IF(Age&lt;'NPV Scenario 2'!AB40, " ", (IF(AB41&gt;=rn, 1/(1+i)^(AB41-rn)," ")))))</f>
        <v xml:space="preserve"> </v>
      </c>
      <c r="AC42" s="31"/>
    </row>
    <row r="43" spans="1:30" x14ac:dyDescent="0.3">
      <c r="A43" s="103" t="s">
        <v>27</v>
      </c>
      <c r="B43" s="103"/>
      <c r="C43" s="104"/>
      <c r="D43" s="105"/>
      <c r="E43" s="105" cm="1">
        <f t="array" ref="E43">IF(E42=" "," ",((('Variable Inputs'!$C$27-(VLOOKUP(E40, 'Probabilities &amp; Price Slide'!$B$20:$E$29,4, FALSE)))*(_xlfn.IFS(E40=2, ('Variable Inputs'!$C$28+(VLOOKUP('Variable Inputs'!$C$27,'Probabilities &amp; Price Slide'!$P$33:$T$370,3,TRUE))), E40=3, ('Variable Inputs'!$C$28+(VLOOKUP('Variable Inputs'!$C$27,'Probabilities &amp; Price Slide'!$P$33:$T$370,3,TRUE))), E40=4, ('Variable Inputs'!$C$28+(VLOOKUP('Variable Inputs'!$C$27,'Probabilities &amp; Price Slide'!$P$33:$T$370,3,TRUE))), E40=11, ('Variable Inputs'!$C$28+(VLOOKUP('Variable Inputs'!$C$27,'Probabilities &amp; Price Slide'!$P$33:$T$370,3,TRUE))), E40=5, 'Variable Inputs'!$C$28, E40=6, 'Variable Inputs'!$C$28, E40=7, 'Variable Inputs'!$C$28, E40=8, 'Variable Inputs'!$C$28, E40=9, 'Variable Inputs'!$C$28, E40=10, 'Variable Inputs'!$C$28)))-vc))</f>
        <v>489.28421960738888</v>
      </c>
      <c r="F43" s="105" cm="1">
        <f t="array" ref="F43">IF(F42=" "," ",((('Variable Inputs'!$C$27-(VLOOKUP(F40, 'Probabilities &amp; Price Slide'!$B$20:$E$29,4, FALSE)))*(_xlfn.IFS(F40=2, ('Variable Inputs'!$C$28+(VLOOKUP('Variable Inputs'!$C$27,'Probabilities &amp; Price Slide'!$P$33:$T$370,3,TRUE))), F40=3, ('Variable Inputs'!$C$28+(VLOOKUP('Variable Inputs'!$C$27,'Probabilities &amp; Price Slide'!$P$33:$T$370,3,TRUE))), F40=4, ('Variable Inputs'!$C$28+(VLOOKUP('Variable Inputs'!$C$27,'Probabilities &amp; Price Slide'!$P$33:$T$370,3,TRUE))), F40=11, ('Variable Inputs'!$C$28+(VLOOKUP('Variable Inputs'!$C$27,'Probabilities &amp; Price Slide'!$P$33:$T$370,3,TRUE))), F40=5, 'Variable Inputs'!$C$28, F40=6, 'Variable Inputs'!$C$28, F40=7, 'Variable Inputs'!$C$28, F40=8, 'Variable Inputs'!$C$28, F40=9, 'Variable Inputs'!$C$28, F40=10, 'Variable Inputs'!$C$28)))-vc))</f>
        <v>525.61637972684446</v>
      </c>
      <c r="G43" s="105" cm="1">
        <f t="array" ref="G43">IF(G42=" "," ",((('Variable Inputs'!$C$27-(VLOOKUP(G40, 'Probabilities &amp; Price Slide'!$B$20:$E$29,4, FALSE)))*(_xlfn.IFS(G40=2, ('Variable Inputs'!$C$28+(VLOOKUP('Variable Inputs'!$C$27,'Probabilities &amp; Price Slide'!$P$33:$T$370,3,TRUE))), G40=3, ('Variable Inputs'!$C$28+(VLOOKUP('Variable Inputs'!$C$27,'Probabilities &amp; Price Slide'!$P$33:$T$370,3,TRUE))), G40=4, ('Variable Inputs'!$C$28+(VLOOKUP('Variable Inputs'!$C$27,'Probabilities &amp; Price Slide'!$P$33:$T$370,3,TRUE))), G40=11, ('Variable Inputs'!$C$28+(VLOOKUP('Variable Inputs'!$C$27,'Probabilities &amp; Price Slide'!$P$33:$T$370,3,TRUE))), G40=5, 'Variable Inputs'!$C$28, G40=6, 'Variable Inputs'!$C$28, G40=7, 'Variable Inputs'!$C$28, G40=8, 'Variable Inputs'!$C$28, G40=9, 'Variable Inputs'!$C$28, G40=10, 'Variable Inputs'!$C$28)))-vc))</f>
        <v>561.52851487382088</v>
      </c>
      <c r="H43" s="105" cm="1">
        <f t="array" ref="H43">IF(H42=" "," ",((('Variable Inputs'!$C$27-(VLOOKUP(H40, 'Probabilities &amp; Price Slide'!$B$20:$E$29,4, FALSE)))*(_xlfn.IFS(H40=2, ('Variable Inputs'!$C$28+(VLOOKUP('Variable Inputs'!$C$27,'Probabilities &amp; Price Slide'!$P$33:$T$370,3,TRUE))), H40=3, ('Variable Inputs'!$C$28+(VLOOKUP('Variable Inputs'!$C$27,'Probabilities &amp; Price Slide'!$P$33:$T$370,3,TRUE))), H40=4, ('Variable Inputs'!$C$28+(VLOOKUP('Variable Inputs'!$C$27,'Probabilities &amp; Price Slide'!$P$33:$T$370,3,TRUE))), H40=11, ('Variable Inputs'!$C$28+(VLOOKUP('Variable Inputs'!$C$27,'Probabilities &amp; Price Slide'!$P$33:$T$370,3,TRUE))), H40=5, 'Variable Inputs'!$C$28, H40=6, 'Variable Inputs'!$C$28, H40=7, 'Variable Inputs'!$C$28, H40=8, 'Variable Inputs'!$C$28, H40=9, 'Variable Inputs'!$C$28, H40=10, 'Variable Inputs'!$C$28)))-vc))</f>
        <v>650</v>
      </c>
      <c r="I43" s="105" cm="1">
        <f t="array" ref="I43">IF(I42=" "," ",((('Variable Inputs'!$C$27-(VLOOKUP(I40, 'Probabilities &amp; Price Slide'!$B$20:$E$29,4, FALSE)))*(_xlfn.IFS(I40=2, ('Variable Inputs'!$C$28+(VLOOKUP('Variable Inputs'!$C$27,'Probabilities &amp; Price Slide'!$P$33:$T$370,3,TRUE))), I40=3, ('Variable Inputs'!$C$28+(VLOOKUP('Variable Inputs'!$C$27,'Probabilities &amp; Price Slide'!$P$33:$T$370,3,TRUE))), I40=4, ('Variable Inputs'!$C$28+(VLOOKUP('Variable Inputs'!$C$27,'Probabilities &amp; Price Slide'!$P$33:$T$370,3,TRUE))), I40=11, ('Variable Inputs'!$C$28+(VLOOKUP('Variable Inputs'!$C$27,'Probabilities &amp; Price Slide'!$P$33:$T$370,3,TRUE))), I40=5, 'Variable Inputs'!$C$28, I40=6, 'Variable Inputs'!$C$28, I40=7, 'Variable Inputs'!$C$28, I40=8, 'Variable Inputs'!$C$28, I40=9, 'Variable Inputs'!$C$28, I40=10, 'Variable Inputs'!$C$28)))-vc))</f>
        <v>650</v>
      </c>
      <c r="J43" s="105" cm="1">
        <f t="array" ref="J43">IF(J42=" "," ",((('Variable Inputs'!$C$27-(VLOOKUP(J40, 'Probabilities &amp; Price Slide'!$B$20:$E$29,4, FALSE)))*(_xlfn.IFS(J40=2, ('Variable Inputs'!$C$28+(VLOOKUP('Variable Inputs'!$C$27,'Probabilities &amp; Price Slide'!$P$33:$T$370,3,TRUE))), J40=3, ('Variable Inputs'!$C$28+(VLOOKUP('Variable Inputs'!$C$27,'Probabilities &amp; Price Slide'!$P$33:$T$370,3,TRUE))), J40=4, ('Variable Inputs'!$C$28+(VLOOKUP('Variable Inputs'!$C$27,'Probabilities &amp; Price Slide'!$P$33:$T$370,3,TRUE))), J40=11, ('Variable Inputs'!$C$28+(VLOOKUP('Variable Inputs'!$C$27,'Probabilities &amp; Price Slide'!$P$33:$T$370,3,TRUE))), J40=5, 'Variable Inputs'!$C$28, J40=6, 'Variable Inputs'!$C$28, J40=7, 'Variable Inputs'!$C$28, J40=8, 'Variable Inputs'!$C$28, J40=9, 'Variable Inputs'!$C$28, J40=10, 'Variable Inputs'!$C$28)))-vc))</f>
        <v>650</v>
      </c>
      <c r="K43" s="105" cm="1">
        <f t="array" ref="K43">IF(K42=" "," ",((('Variable Inputs'!$C$27-(VLOOKUP(K40, 'Probabilities &amp; Price Slide'!$B$20:$E$29,4, FALSE)))*(_xlfn.IFS(K40=2, ('Variable Inputs'!$C$28+(VLOOKUP('Variable Inputs'!$C$27,'Probabilities &amp; Price Slide'!$P$33:$T$370,3,TRUE))), K40=3, ('Variable Inputs'!$C$28+(VLOOKUP('Variable Inputs'!$C$27,'Probabilities &amp; Price Slide'!$P$33:$T$370,3,TRUE))), K40=4, ('Variable Inputs'!$C$28+(VLOOKUP('Variable Inputs'!$C$27,'Probabilities &amp; Price Slide'!$P$33:$T$370,3,TRUE))), K40=11, ('Variable Inputs'!$C$28+(VLOOKUP('Variable Inputs'!$C$27,'Probabilities &amp; Price Slide'!$P$33:$T$370,3,TRUE))), K40=5, 'Variable Inputs'!$C$28, K40=6, 'Variable Inputs'!$C$28, K40=7, 'Variable Inputs'!$C$28, K40=8, 'Variable Inputs'!$C$28, K40=9, 'Variable Inputs'!$C$28, K40=10, 'Variable Inputs'!$C$28)))-vc))</f>
        <v>650</v>
      </c>
      <c r="L43" s="105" cm="1">
        <f t="array" ref="L43">IF(L42=" "," ",((('Variable Inputs'!$C$27-(VLOOKUP(L40, 'Probabilities &amp; Price Slide'!$B$20:$E$29,4, FALSE)))*(_xlfn.IFS(L40=2, ('Variable Inputs'!$C$28+(VLOOKUP('Variable Inputs'!$C$27,'Probabilities &amp; Price Slide'!$P$33:$T$370,3,TRUE))), L40=3, ('Variable Inputs'!$C$28+(VLOOKUP('Variable Inputs'!$C$27,'Probabilities &amp; Price Slide'!$P$33:$T$370,3,TRUE))), L40=4, ('Variable Inputs'!$C$28+(VLOOKUP('Variable Inputs'!$C$27,'Probabilities &amp; Price Slide'!$P$33:$T$370,3,TRUE))), L40=11, ('Variable Inputs'!$C$28+(VLOOKUP('Variable Inputs'!$C$27,'Probabilities &amp; Price Slide'!$P$33:$T$370,3,TRUE))), L40=5, 'Variable Inputs'!$C$28, L40=6, 'Variable Inputs'!$C$28, L40=7, 'Variable Inputs'!$C$28, L40=8, 'Variable Inputs'!$C$28, L40=9, 'Variable Inputs'!$C$28, L40=10, 'Variable Inputs'!$C$28)))-vc))</f>
        <v>650</v>
      </c>
      <c r="M43" s="105" cm="1">
        <f t="array" ref="M43">IF(M42=" "," ",((('Variable Inputs'!$C$27-(VLOOKUP(M40, 'Probabilities &amp; Price Slide'!$B$20:$E$29,4, FALSE)))*(_xlfn.IFS(M40=2, ('Variable Inputs'!$C$28+(VLOOKUP('Variable Inputs'!$C$27,'Probabilities &amp; Price Slide'!$P$33:$T$370,3,TRUE))), M40=3, ('Variable Inputs'!$C$28+(VLOOKUP('Variable Inputs'!$C$27,'Probabilities &amp; Price Slide'!$P$33:$T$370,3,TRUE))), M40=4, ('Variable Inputs'!$C$28+(VLOOKUP('Variable Inputs'!$C$27,'Probabilities &amp; Price Slide'!$P$33:$T$370,3,TRUE))), M40=11, ('Variable Inputs'!$C$28+(VLOOKUP('Variable Inputs'!$C$27,'Probabilities &amp; Price Slide'!$P$33:$T$370,3,TRUE))), M40=5, 'Variable Inputs'!$C$28, M40=6, 'Variable Inputs'!$C$28, M40=7, 'Variable Inputs'!$C$28, M40=8, 'Variable Inputs'!$C$28, M40=9, 'Variable Inputs'!$C$28, M40=10, 'Variable Inputs'!$C$28)))-vc))</f>
        <v>650</v>
      </c>
      <c r="N43" s="105" cm="1">
        <f t="array" ref="N43">IF(N42=" "," ",((('Variable Inputs'!$C$27-(VLOOKUP(N40, 'Probabilities &amp; Price Slide'!$B$20:$E$29,4, FALSE)))*(_xlfn.IFS(N40=2, ('Variable Inputs'!$C$28+(VLOOKUP('Variable Inputs'!$C$27,'Probabilities &amp; Price Slide'!$P$33:$T$370,3,TRUE))), N40=3, ('Variable Inputs'!$C$28+(VLOOKUP('Variable Inputs'!$C$27,'Probabilities &amp; Price Slide'!$P$33:$T$370,3,TRUE))), N40=4, ('Variable Inputs'!$C$28+(VLOOKUP('Variable Inputs'!$C$27,'Probabilities &amp; Price Slide'!$P$33:$T$370,3,TRUE))), N40=11, ('Variable Inputs'!$C$28+(VLOOKUP('Variable Inputs'!$C$27,'Probabilities &amp; Price Slide'!$P$33:$T$370,3,TRUE))), N40=5, 'Variable Inputs'!$C$28, N40=6, 'Variable Inputs'!$C$28, N40=7, 'Variable Inputs'!$C$28, N40=8, 'Variable Inputs'!$C$28, N40=9, 'Variable Inputs'!$C$28, N40=10, 'Variable Inputs'!$C$28)))-vc))</f>
        <v>561.52851487382088</v>
      </c>
      <c r="O43" s="105" t="str" cm="1">
        <f t="array" ref="O43">IF(O42=" "," ",((('Variable Inputs'!$C$27-(VLOOKUP(O40, 'Probabilities &amp; Price Slide'!$B$20:$E$29,4, FALSE)))*(_xlfn.IFS(O40=2, ('Variable Inputs'!$C$28+(VLOOKUP('Variable Inputs'!$C$27,'Probabilities &amp; Price Slide'!$P$33:$T$370,3,TRUE))), O40=3, ('Variable Inputs'!$C$28+(VLOOKUP('Variable Inputs'!$C$27,'Probabilities &amp; Price Slide'!$P$33:$T$370,3,TRUE))), O40=4, ('Variable Inputs'!$C$28+(VLOOKUP('Variable Inputs'!$C$27,'Probabilities &amp; Price Slide'!$P$33:$T$370,3,TRUE))), O40=11, ('Variable Inputs'!$C$28+(VLOOKUP('Variable Inputs'!$C$27,'Probabilities &amp; Price Slide'!$P$33:$T$370,3,TRUE))), O40=5, 'Variable Inputs'!$C$28, O40=6, 'Variable Inputs'!$C$28, O40=7, 'Variable Inputs'!$C$28, O40=8, 'Variable Inputs'!$C$28, O40=9, 'Variable Inputs'!$C$28, O40=10, 'Variable Inputs'!$C$28)))-vc))</f>
        <v xml:space="preserve"> </v>
      </c>
      <c r="P43" s="105" t="str" cm="1">
        <f t="array" ref="P43">IF(P42=" "," ",((('Variable Inputs'!$C$27-(VLOOKUP(P40, 'Probabilities &amp; Price Slide'!$B$20:$E$29,4, FALSE)))*(_xlfn.IFS(P40=2, ('Variable Inputs'!$C$28+(VLOOKUP('Variable Inputs'!$C$27,'Probabilities &amp; Price Slide'!$P$33:$T$370,3,TRUE))), P40=3, ('Variable Inputs'!$C$28+(VLOOKUP('Variable Inputs'!$C$27,'Probabilities &amp; Price Slide'!$P$33:$T$370,3,TRUE))), P40=4, ('Variable Inputs'!$C$28+(VLOOKUP('Variable Inputs'!$C$27,'Probabilities &amp; Price Slide'!$P$33:$T$370,3,TRUE))), P40=11, ('Variable Inputs'!$C$28+(VLOOKUP('Variable Inputs'!$C$27,'Probabilities &amp; Price Slide'!$P$33:$T$370,3,TRUE))), P40=5, 'Variable Inputs'!$C$28, P40=6, 'Variable Inputs'!$C$28, P40=7, 'Variable Inputs'!$C$28, P40=8, 'Variable Inputs'!$C$28, P40=9, 'Variable Inputs'!$C$28, P40=10, 'Variable Inputs'!$C$28)))-vc))</f>
        <v xml:space="preserve"> </v>
      </c>
      <c r="Q43" s="105" t="str" cm="1">
        <f t="array" ref="Q43">IF(Q42=" "," ",((('Variable Inputs'!$C$27-(VLOOKUP(Q40, 'Probabilities &amp; Price Slide'!$B$20:$E$29,4, FALSE)))*(_xlfn.IFS(Q40=2, ('Variable Inputs'!$C$28+(VLOOKUP('Variable Inputs'!$C$27,'Probabilities &amp; Price Slide'!$P$33:$T$370,3,TRUE))), Q40=3, ('Variable Inputs'!$C$28+(VLOOKUP('Variable Inputs'!$C$27,'Probabilities &amp; Price Slide'!$P$33:$T$370,3,TRUE))), Q40=4, ('Variable Inputs'!$C$28+(VLOOKUP('Variable Inputs'!$C$27,'Probabilities &amp; Price Slide'!$P$33:$T$370,3,TRUE))), Q40=11, ('Variable Inputs'!$C$28+(VLOOKUP('Variable Inputs'!$C$27,'Probabilities &amp; Price Slide'!$P$33:$T$370,3,TRUE))), Q40=5, 'Variable Inputs'!$C$28, Q40=6, 'Variable Inputs'!$C$28, Q40=7, 'Variable Inputs'!$C$28, Q40=8, 'Variable Inputs'!$C$28, Q40=9, 'Variable Inputs'!$C$28, Q40=10, 'Variable Inputs'!$C$28)))-vc))</f>
        <v xml:space="preserve"> </v>
      </c>
      <c r="R43" s="105" t="str" cm="1">
        <f t="array" ref="R43">IF(R42=" "," ",((('Variable Inputs'!$C$27-(VLOOKUP(R40, 'Probabilities &amp; Price Slide'!$B$20:$E$29,4, FALSE)))*(_xlfn.IFS(R40=2, ('Variable Inputs'!$C$28+(VLOOKUP('Variable Inputs'!$C$27,'Probabilities &amp; Price Slide'!$P$33:$T$370,3,TRUE))), R40=3, ('Variable Inputs'!$C$28+(VLOOKUP('Variable Inputs'!$C$27,'Probabilities &amp; Price Slide'!$P$33:$T$370,3,TRUE))), R40=4, ('Variable Inputs'!$C$28+(VLOOKUP('Variable Inputs'!$C$27,'Probabilities &amp; Price Slide'!$P$33:$T$370,3,TRUE))), R40=11, ('Variable Inputs'!$C$28+(VLOOKUP('Variable Inputs'!$C$27,'Probabilities &amp; Price Slide'!$P$33:$T$370,3,TRUE))), R40=5, 'Variable Inputs'!$C$28, R40=6, 'Variable Inputs'!$C$28, R40=7, 'Variable Inputs'!$C$28, R40=8, 'Variable Inputs'!$C$28, R40=9, 'Variable Inputs'!$C$28, R40=10, 'Variable Inputs'!$C$28)))-vc))</f>
        <v xml:space="preserve"> </v>
      </c>
      <c r="S43" s="105" t="str" cm="1">
        <f t="array" ref="S43">IF(S42=" "," ",((('Variable Inputs'!$C$27-(VLOOKUP(S40, 'Probabilities &amp; Price Slide'!$B$20:$E$29,4, FALSE)))*(_xlfn.IFS(S40=2, ('Variable Inputs'!$C$28+(VLOOKUP('Variable Inputs'!$C$27,'Probabilities &amp; Price Slide'!$P$33:$T$370,3,TRUE))), S40=3, ('Variable Inputs'!$C$28+(VLOOKUP('Variable Inputs'!$C$27,'Probabilities &amp; Price Slide'!$P$33:$T$370,3,TRUE))), S40=4, ('Variable Inputs'!$C$28+(VLOOKUP('Variable Inputs'!$C$27,'Probabilities &amp; Price Slide'!$P$33:$T$370,3,TRUE))), S40=11, ('Variable Inputs'!$C$28+(VLOOKUP('Variable Inputs'!$C$27,'Probabilities &amp; Price Slide'!$P$33:$T$370,3,TRUE))), S40=5, 'Variable Inputs'!$C$28, S40=6, 'Variable Inputs'!$C$28, S40=7, 'Variable Inputs'!$C$28, S40=8, 'Variable Inputs'!$C$28, S40=9, 'Variable Inputs'!$C$28, S40=10, 'Variable Inputs'!$C$28)))-vc))</f>
        <v xml:space="preserve"> </v>
      </c>
      <c r="T43" s="105" t="str" cm="1">
        <f t="array" ref="T43">IF(T42=" "," ",((('Variable Inputs'!$C$27-(VLOOKUP(T40, 'Probabilities &amp; Price Slide'!$B$20:$E$29,4, FALSE)))*(_xlfn.IFS(T40=2, ('Variable Inputs'!$C$28+(VLOOKUP('Variable Inputs'!$C$27,'Probabilities &amp; Price Slide'!$P$33:$T$370,3,TRUE))), T40=3, ('Variable Inputs'!$C$28+(VLOOKUP('Variable Inputs'!$C$27,'Probabilities &amp; Price Slide'!$P$33:$T$370,3,TRUE))), T40=4, ('Variable Inputs'!$C$28+(VLOOKUP('Variable Inputs'!$C$27,'Probabilities &amp; Price Slide'!$P$33:$T$370,3,TRUE))), T40=11, ('Variable Inputs'!$C$28+(VLOOKUP('Variable Inputs'!$C$27,'Probabilities &amp; Price Slide'!$P$33:$T$370,3,TRUE))), T40=5, 'Variable Inputs'!$C$28, T40=6, 'Variable Inputs'!$C$28, T40=7, 'Variable Inputs'!$C$28, T40=8, 'Variable Inputs'!$C$28, T40=9, 'Variable Inputs'!$C$28, T40=10, 'Variable Inputs'!$C$28)))-vc))</f>
        <v xml:space="preserve"> </v>
      </c>
      <c r="U43" s="105" t="str" cm="1">
        <f t="array" ref="U43">IF(U42=" "," ",((('Variable Inputs'!$C$27-(VLOOKUP(U40, 'Probabilities &amp; Price Slide'!$B$20:$E$29,4, FALSE)))*(_xlfn.IFS(U40=2, ('Variable Inputs'!$C$28+(VLOOKUP('Variable Inputs'!$C$27,'Probabilities &amp; Price Slide'!$P$33:$T$370,3,TRUE))), U40=3, ('Variable Inputs'!$C$28+(VLOOKUP('Variable Inputs'!$C$27,'Probabilities &amp; Price Slide'!$P$33:$T$370,3,TRUE))), U40=4, ('Variable Inputs'!$C$28+(VLOOKUP('Variable Inputs'!$C$27,'Probabilities &amp; Price Slide'!$P$33:$T$370,3,TRUE))), U40=11, ('Variable Inputs'!$C$28+(VLOOKUP('Variable Inputs'!$C$27,'Probabilities &amp; Price Slide'!$P$33:$T$370,3,TRUE))), U40=5, 'Variable Inputs'!$C$28, U40=6, 'Variable Inputs'!$C$28, U40=7, 'Variable Inputs'!$C$28, U40=8, 'Variable Inputs'!$C$28, U40=9, 'Variable Inputs'!$C$28, U40=10, 'Variable Inputs'!$C$28)))-vc))</f>
        <v xml:space="preserve"> </v>
      </c>
      <c r="V43" s="105" t="str" cm="1">
        <f t="array" ref="V43">IF(V42=" "," ",((('Variable Inputs'!$C$27-(VLOOKUP(V40, 'Probabilities &amp; Price Slide'!$B$20:$E$29,4, FALSE)))*(_xlfn.IFS(V40=2, ('Variable Inputs'!$C$28+(VLOOKUP('Variable Inputs'!$C$27,'Probabilities &amp; Price Slide'!$P$33:$T$370,3,TRUE))), V40=3, ('Variable Inputs'!$C$28+(VLOOKUP('Variable Inputs'!$C$27,'Probabilities &amp; Price Slide'!$P$33:$T$370,3,TRUE))), V40=4, ('Variable Inputs'!$C$28+(VLOOKUP('Variable Inputs'!$C$27,'Probabilities &amp; Price Slide'!$P$33:$T$370,3,TRUE))), V40=11, ('Variable Inputs'!$C$28+(VLOOKUP('Variable Inputs'!$C$27,'Probabilities &amp; Price Slide'!$P$33:$T$370,3,TRUE))), V40=5, 'Variable Inputs'!$C$28, V40=6, 'Variable Inputs'!$C$28, V40=7, 'Variable Inputs'!$C$28, V40=8, 'Variable Inputs'!$C$28, V40=9, 'Variable Inputs'!$C$28, V40=10, 'Variable Inputs'!$C$28)))-vc))</f>
        <v xml:space="preserve"> </v>
      </c>
      <c r="W43" s="105" t="str" cm="1">
        <f t="array" ref="W43">IF(W42=" "," ",((('Variable Inputs'!$C$27-(VLOOKUP(W40, 'Probabilities &amp; Price Slide'!$B$20:$E$29,4, FALSE)))*(_xlfn.IFS(W40=2, ('Variable Inputs'!$C$28+(VLOOKUP('Variable Inputs'!$C$27,'Probabilities &amp; Price Slide'!$P$33:$T$370,3,TRUE))), W40=3, ('Variable Inputs'!$C$28+(VLOOKUP('Variable Inputs'!$C$27,'Probabilities &amp; Price Slide'!$P$33:$T$370,3,TRUE))), W40=4, ('Variable Inputs'!$C$28+(VLOOKUP('Variable Inputs'!$C$27,'Probabilities &amp; Price Slide'!$P$33:$T$370,3,TRUE))), W40=11, ('Variable Inputs'!$C$28+(VLOOKUP('Variable Inputs'!$C$27,'Probabilities &amp; Price Slide'!$P$33:$T$370,3,TRUE))), W40=5, 'Variable Inputs'!$C$28, W40=6, 'Variable Inputs'!$C$28, W40=7, 'Variable Inputs'!$C$28, W40=8, 'Variable Inputs'!$C$28, W40=9, 'Variable Inputs'!$C$28, W40=10, 'Variable Inputs'!$C$28)))-vc))</f>
        <v xml:space="preserve"> </v>
      </c>
      <c r="X43" s="105" t="str" cm="1">
        <f t="array" ref="X43">IF(X42=" "," ",((('Variable Inputs'!$C$27-(VLOOKUP(X40, 'Probabilities &amp; Price Slide'!$B$20:$E$29,4, FALSE)))*(_xlfn.IFS(X40=2, ('Variable Inputs'!$C$28+(VLOOKUP('Variable Inputs'!$C$27,'Probabilities &amp; Price Slide'!$P$33:$T$370,3,TRUE))), X40=3, ('Variable Inputs'!$C$28+(VLOOKUP('Variable Inputs'!$C$27,'Probabilities &amp; Price Slide'!$P$33:$T$370,3,TRUE))), X40=4, ('Variable Inputs'!$C$28+(VLOOKUP('Variable Inputs'!$C$27,'Probabilities &amp; Price Slide'!$P$33:$T$370,3,TRUE))), X40=11, ('Variable Inputs'!$C$28+(VLOOKUP('Variable Inputs'!$C$27,'Probabilities &amp; Price Slide'!$P$33:$T$370,3,TRUE))), X40=5, 'Variable Inputs'!$C$28, X40=6, 'Variable Inputs'!$C$28, X40=7, 'Variable Inputs'!$C$28, X40=8, 'Variable Inputs'!$C$28, X40=9, 'Variable Inputs'!$C$28, X40=10, 'Variable Inputs'!$C$28)))-vc))</f>
        <v xml:space="preserve"> </v>
      </c>
      <c r="Y43" s="105" t="str" cm="1">
        <f t="array" ref="Y43">IF(Y42=" "," ",((('Variable Inputs'!$C$27-(VLOOKUP(Y40, 'Probabilities &amp; Price Slide'!$B$20:$E$29,4, FALSE)))*(_xlfn.IFS(Y40=2, ('Variable Inputs'!$C$28+(VLOOKUP('Variable Inputs'!$C$27,'Probabilities &amp; Price Slide'!$P$33:$T$370,3,TRUE))), Y40=3, ('Variable Inputs'!$C$28+(VLOOKUP('Variable Inputs'!$C$27,'Probabilities &amp; Price Slide'!$P$33:$T$370,3,TRUE))), Y40=4, ('Variable Inputs'!$C$28+(VLOOKUP('Variable Inputs'!$C$27,'Probabilities &amp; Price Slide'!$P$33:$T$370,3,TRUE))), Y40=11, ('Variable Inputs'!$C$28+(VLOOKUP('Variable Inputs'!$C$27,'Probabilities &amp; Price Slide'!$P$33:$T$370,3,TRUE))), Y40=5, 'Variable Inputs'!$C$28, Y40=6, 'Variable Inputs'!$C$28, Y40=7, 'Variable Inputs'!$C$28, Y40=8, 'Variable Inputs'!$C$28, Y40=9, 'Variable Inputs'!$C$28, Y40=10, 'Variable Inputs'!$C$28)))-vc))</f>
        <v xml:space="preserve"> </v>
      </c>
      <c r="Z43" s="105" t="str" cm="1">
        <f t="array" ref="Z43">IF(Z42=" "," ",((('Variable Inputs'!$C$27-(VLOOKUP(Z40, 'Probabilities &amp; Price Slide'!$B$20:$E$29,4, FALSE)))*(_xlfn.IFS(Z40=2, ('Variable Inputs'!$C$28+(VLOOKUP('Variable Inputs'!$C$27,'Probabilities &amp; Price Slide'!$P$33:$T$370,3,TRUE))), Z40=3, ('Variable Inputs'!$C$28+(VLOOKUP('Variable Inputs'!$C$27,'Probabilities &amp; Price Slide'!$P$33:$T$370,3,TRUE))), Z40=4, ('Variable Inputs'!$C$28+(VLOOKUP('Variable Inputs'!$C$27,'Probabilities &amp; Price Slide'!$P$33:$T$370,3,TRUE))), Z40=11, ('Variable Inputs'!$C$28+(VLOOKUP('Variable Inputs'!$C$27,'Probabilities &amp; Price Slide'!$P$33:$T$370,3,TRUE))), Z40=5, 'Variable Inputs'!$C$28, Z40=6, 'Variable Inputs'!$C$28, Z40=7, 'Variable Inputs'!$C$28, Z40=8, 'Variable Inputs'!$C$28, Z40=9, 'Variable Inputs'!$C$28, Z40=10, 'Variable Inputs'!$C$28)))-vc))</f>
        <v xml:space="preserve"> </v>
      </c>
      <c r="AA43" s="105" t="str" cm="1">
        <f t="array" ref="AA43">IF(AA42=" "," ",((('Variable Inputs'!$C$27-(VLOOKUP(AA40, 'Probabilities &amp; Price Slide'!$B$20:$E$29,4, FALSE)))*(_xlfn.IFS(AA40=2, ('Variable Inputs'!$C$28+(VLOOKUP('Variable Inputs'!$C$27,'Probabilities &amp; Price Slide'!$P$33:$T$370,3,TRUE))), AA40=3, ('Variable Inputs'!$C$28+(VLOOKUP('Variable Inputs'!$C$27,'Probabilities &amp; Price Slide'!$P$33:$T$370,3,TRUE))), AA40=4, ('Variable Inputs'!$C$28+(VLOOKUP('Variable Inputs'!$C$27,'Probabilities &amp; Price Slide'!$P$33:$T$370,3,TRUE))), AA40=11, ('Variable Inputs'!$C$28+(VLOOKUP('Variable Inputs'!$C$27,'Probabilities &amp; Price Slide'!$P$33:$T$370,3,TRUE))), AA40=5, 'Variable Inputs'!$C$28, AA40=6, 'Variable Inputs'!$C$28, AA40=7, 'Variable Inputs'!$C$28, AA40=8, 'Variable Inputs'!$C$28, AA40=9, 'Variable Inputs'!$C$28, AA40=10, 'Variable Inputs'!$C$28)))-vc))</f>
        <v xml:space="preserve"> </v>
      </c>
      <c r="AB43" s="105" t="str" cm="1">
        <f t="array" ref="AB43">IF(AB42=" "," ",((('Variable Inputs'!$C$27-(VLOOKUP(AB40, 'Probabilities &amp; Price Slide'!$B$20:$E$29,4, FALSE)))*(_xlfn.IFS(AB40=2, ('Variable Inputs'!$C$28+(VLOOKUP('Variable Inputs'!$C$27,'Probabilities &amp; Price Slide'!$P$33:$T$370,3,TRUE))), AB40=3, ('Variable Inputs'!$C$28+(VLOOKUP('Variable Inputs'!$C$27,'Probabilities &amp; Price Slide'!$P$33:$T$370,3,TRUE))), AB40=4, ('Variable Inputs'!$C$28+(VLOOKUP('Variable Inputs'!$C$27,'Probabilities &amp; Price Slide'!$P$33:$T$370,3,TRUE))), AB40=11, ('Variable Inputs'!$C$28+(VLOOKUP('Variable Inputs'!$C$27,'Probabilities &amp; Price Slide'!$P$33:$T$370,3,TRUE))), AB40=5, 'Variable Inputs'!$C$28, AB40=6, 'Variable Inputs'!$C$28, AB40=7, 'Variable Inputs'!$C$28, AB40=8, 'Variable Inputs'!$C$28, AB40=9, 'Variable Inputs'!$C$28, AB40=10, 'Variable Inputs'!$C$28)))-vc))</f>
        <v xml:space="preserve"> </v>
      </c>
    </row>
    <row r="44" spans="1:30" x14ac:dyDescent="0.3">
      <c r="A44" s="103" t="s">
        <v>51</v>
      </c>
      <c r="B44" s="105" t="str">
        <f t="shared" ref="B44" si="29">IF(B42=" "," ", (IF(A41=on, H,(IF(B40=PC+1, S, " ")))))</f>
        <v xml:space="preserve"> </v>
      </c>
      <c r="C44" s="105" t="str">
        <f>IF(C42=" "," ", (IF(B41=on, -H,(IF(C40=PC+1, (IF(C40&gt;8,'Variable Inputs'!$C$36*('Variable Inputs'!$C$37+'Probabilities &amp; Price Slide'!$B$38), S)), " ")))))</f>
        <v xml:space="preserve"> </v>
      </c>
      <c r="D44" s="105" t="str">
        <f>IF(D42=" "," ", (IF(C41=on, -PurH,(IF(D40=PC+1, (IF(D40&gt;8,'Variable Inputs'!$C$36*('Variable Inputs'!$C$37+'Probabilities &amp; Price Slide'!$B$38), S)), " ")))))</f>
        <v xml:space="preserve"> </v>
      </c>
      <c r="E44" s="105">
        <f>IF(E42=" "," ", (IF(D41=on, -PurH,(IF(E40=PC+1, (IF(E40&gt;8,'Variable Inputs'!$C$36*('Variable Inputs'!$C$37+'Probabilities &amp; Price Slide'!$B$38), S)), " ")))))</f>
        <v>-2500</v>
      </c>
      <c r="F44" s="105" t="str">
        <f>IF(F42=" "," ", (IF(E41=on, -PurH,(IF(F40=PC+1, (IF(F40&gt;8,'Variable Inputs'!$C$36*('Variable Inputs'!$C$37+'Probabilities &amp; Price Slide'!$B$38), S)), " ")))))</f>
        <v xml:space="preserve"> </v>
      </c>
      <c r="G44" s="105" t="str">
        <f>IF(G42=" "," ", (IF(F41=on, -PurH,(IF(G40=PC+1, (IF(G40&gt;8,'Variable Inputs'!$C$36*('Variable Inputs'!$C$37+'Probabilities &amp; Price Slide'!$B$38), S)), " ")))))</f>
        <v xml:space="preserve"> </v>
      </c>
      <c r="H44" s="105" t="str">
        <f>IF(H42=" "," ", (IF(G41=on, -PurH,(IF(H40=PC+1, (IF(H40&gt;8,'Variable Inputs'!$C$36*('Variable Inputs'!$C$37+'Probabilities &amp; Price Slide'!$B$38), S)), " ")))))</f>
        <v xml:space="preserve"> </v>
      </c>
      <c r="I44" s="105" t="str">
        <f>IF(I42=" "," ", (IF(H41=on, -PurH,(IF(I40=PC+1, (IF(I40&gt;8,'Variable Inputs'!$C$36*('Variable Inputs'!$C$37+'Probabilities &amp; Price Slide'!$B$38), S)), " ")))))</f>
        <v xml:space="preserve"> </v>
      </c>
      <c r="J44" s="105" t="str">
        <f>IF(J42=" "," ", (IF(I41=on, -PurH,(IF(J40=PC+1, (IF(J40&gt;8,'Variable Inputs'!$C$36*('Variable Inputs'!$C$37+'Probabilities &amp; Price Slide'!$B$38), S)), " ")))))</f>
        <v xml:space="preserve"> </v>
      </c>
      <c r="K44" s="105" t="str">
        <f>IF(K42=" "," ", (IF(J41=on, -PurH,(IF(K40=PC+1, (IF(K40&gt;8,'Variable Inputs'!$C$36*('Variable Inputs'!$C$37+'Probabilities &amp; Price Slide'!$B$38), S)), " ")))))</f>
        <v xml:space="preserve"> </v>
      </c>
      <c r="L44" s="105" t="str">
        <f>IF(L42=" "," ", (IF(K41=on, -PurH,(IF(L40=PC+1, (IF(L40&gt;8,'Variable Inputs'!$C$36*('Variable Inputs'!$C$37+'Probabilities &amp; Price Slide'!$B$38), S)), " ")))))</f>
        <v xml:space="preserve"> </v>
      </c>
      <c r="M44" s="105" t="str">
        <f>IF(M42=" "," ", (IF(L41=on, -PurH,(IF(M40=PC+1, (IF(M40&gt;8,'Variable Inputs'!$C$36*('Variable Inputs'!$C$37+'Probabilities &amp; Price Slide'!$B$38), S)), " ")))))</f>
        <v xml:space="preserve"> </v>
      </c>
      <c r="N44" s="105">
        <f>IF(N42=" "," ", (IF(M41=on, -PurH,(IF(N40=PC+1, (IF(N40&gt;8,'Variable Inputs'!$C$36*('Variable Inputs'!$C$37+'Probabilities &amp; Price Slide'!$B$38), S)), " ")))))</f>
        <v>810</v>
      </c>
      <c r="O44" s="105" t="str">
        <f>IF(O42=" "," ", (IF(N41=on, -PurH,(IF(O40=PC+1, (IF(O40&gt;8,'Variable Inputs'!$C$36*('Variable Inputs'!$C$37+'Probabilities &amp; Price Slide'!$B$38), S)), " ")))))</f>
        <v xml:space="preserve"> </v>
      </c>
      <c r="P44" s="105" t="str">
        <f>IF(P42=" "," ", (IF(O41=on, -PurH,(IF(P40=PC+1, (IF(P40&gt;8,'Variable Inputs'!$C$36*('Variable Inputs'!$C$37+'Probabilities &amp; Price Slide'!$B$38), S)), " ")))))</f>
        <v xml:space="preserve"> </v>
      </c>
      <c r="Q44" s="105" t="str">
        <f>IF(Q42=" "," ", (IF(P41=on, -PurH,(IF(Q40=PC+1, (IF(Q40&gt;8,'Variable Inputs'!$C$36*('Variable Inputs'!$C$37+'Probabilities &amp; Price Slide'!$B$38), S)), " ")))))</f>
        <v xml:space="preserve"> </v>
      </c>
      <c r="R44" s="105" t="str">
        <f>IF(R42=" "," ", (IF(Q41=on, -PurH,(IF(R40=PC+1, (IF(R40&gt;8,'Variable Inputs'!$C$36*('Variable Inputs'!$C$37+'Probabilities &amp; Price Slide'!$B$38), S)), " ")))))</f>
        <v xml:space="preserve"> </v>
      </c>
      <c r="S44" s="105" t="str">
        <f>IF(S42=" "," ", (IF(R41=on, -PurH,(IF(S40=PC+1, (IF(S40&gt;8,'Variable Inputs'!$C$36*('Variable Inputs'!$C$37+'Probabilities &amp; Price Slide'!$B$38), S)), " ")))))</f>
        <v xml:space="preserve"> </v>
      </c>
      <c r="T44" s="105" t="str">
        <f>IF(T42=" "," ", (IF(S41=on, -PurH,(IF(T40=PC+1, (IF(T40&gt;8,'Variable Inputs'!$C$36*('Variable Inputs'!$C$37+'Probabilities &amp; Price Slide'!$B$38), S)), " ")))))</f>
        <v xml:space="preserve"> </v>
      </c>
      <c r="U44" s="105" t="str">
        <f>IF(U42=" "," ", (IF(T41=on, -PurH,(IF(U40=PC+1, (IF(U40&gt;8,'Variable Inputs'!$C$36*('Variable Inputs'!$C$37+'Probabilities &amp; Price Slide'!$B$38), S)), " ")))))</f>
        <v xml:space="preserve"> </v>
      </c>
      <c r="V44" s="105" t="str">
        <f>IF(V42=" "," ", (IF(U41=on, -PurH,(IF(V40=PC+1, (IF(V40&gt;8,'Variable Inputs'!$C$36*('Variable Inputs'!$C$37+'Probabilities &amp; Price Slide'!$B$38), S)), " ")))))</f>
        <v xml:space="preserve"> </v>
      </c>
      <c r="W44" s="105" t="str">
        <f>IF(W42=" "," ", (IF(V41=on, -PurH,(IF(W40=PC+1, (IF(W40&gt;8,'Variable Inputs'!$C$36*('Variable Inputs'!$C$37+'Probabilities &amp; Price Slide'!$B$38), S)), " ")))))</f>
        <v xml:space="preserve"> </v>
      </c>
      <c r="X44" s="105" t="str">
        <f>IF(X42=" "," ", (IF(W41=on, -PurH,(IF(X40=PC+1, (IF(X40&gt;8,'Variable Inputs'!$C$36*('Variable Inputs'!$C$37+'Probabilities &amp; Price Slide'!$B$38), S)), " ")))))</f>
        <v xml:space="preserve"> </v>
      </c>
      <c r="Y44" s="105" t="str">
        <f>IF(Y42=" "," ", (IF(X41=on, -PurH,(IF(Y40=PC+1, (IF(Y40&gt;8,'Variable Inputs'!$C$36*('Variable Inputs'!$C$37+'Probabilities &amp; Price Slide'!$B$38), S)), " ")))))</f>
        <v xml:space="preserve"> </v>
      </c>
      <c r="Z44" s="105" t="str">
        <f>IF(Z42=" "," ", (IF(Y41=on, -PurH,(IF(Z40=PC+1, (IF(Z40&gt;8,'Variable Inputs'!$C$36*('Variable Inputs'!$C$37+'Probabilities &amp; Price Slide'!$B$38), S)), " ")))))</f>
        <v xml:space="preserve"> </v>
      </c>
      <c r="AA44" s="105" t="str">
        <f>IF(AA42=" "," ", (IF(Z41=on, -PurH,(IF(AA40=PC+1, (IF(AA40&gt;8,'Variable Inputs'!$C$36*('Variable Inputs'!$C$37+'Probabilities &amp; Price Slide'!$B$38), S)), " ")))))</f>
        <v xml:space="preserve"> </v>
      </c>
      <c r="AB44" s="105" t="str">
        <f>IF(AB42=" "," ", (IF(AA41=on, -PurH,(IF(AB40=PC+1, (IF(AB40&gt;8,'Variable Inputs'!$C$36*('Variable Inputs'!$C$37+'Probabilities &amp; Price Slide'!$B$38), S)), " ")))))</f>
        <v xml:space="preserve"> </v>
      </c>
    </row>
    <row r="45" spans="1:30" ht="15" thickBot="1" x14ac:dyDescent="0.35">
      <c r="A45" s="103" t="s">
        <v>52</v>
      </c>
      <c r="C45" s="106"/>
      <c r="D45" s="106"/>
      <c r="E45" s="106">
        <f>IF(E42=" "," ", (SUM(E43:E44)))</f>
        <v>-2010.7157803926111</v>
      </c>
      <c r="F45" s="106">
        <f t="shared" ref="F45:AB45" si="30">IF(F42=" "," ", (SUM(F43:F44)))</f>
        <v>525.61637972684446</v>
      </c>
      <c r="G45" s="106">
        <f t="shared" si="30"/>
        <v>561.52851487382088</v>
      </c>
      <c r="H45" s="106">
        <f t="shared" si="30"/>
        <v>650</v>
      </c>
      <c r="I45" s="106">
        <f t="shared" si="30"/>
        <v>650</v>
      </c>
      <c r="J45" s="106">
        <f t="shared" si="30"/>
        <v>650</v>
      </c>
      <c r="K45" s="106">
        <f t="shared" si="30"/>
        <v>650</v>
      </c>
      <c r="L45" s="106">
        <f t="shared" si="30"/>
        <v>650</v>
      </c>
      <c r="M45" s="106">
        <f t="shared" si="30"/>
        <v>650</v>
      </c>
      <c r="N45" s="106">
        <f t="shared" si="30"/>
        <v>1371.5285148738208</v>
      </c>
      <c r="O45" s="106" t="str">
        <f t="shared" si="30"/>
        <v xml:space="preserve"> </v>
      </c>
      <c r="P45" s="106" t="str">
        <f t="shared" si="30"/>
        <v xml:space="preserve"> </v>
      </c>
      <c r="Q45" s="106" t="str">
        <f t="shared" si="30"/>
        <v xml:space="preserve"> </v>
      </c>
      <c r="R45" s="106" t="str">
        <f t="shared" si="30"/>
        <v xml:space="preserve"> </v>
      </c>
      <c r="S45" s="106" t="str">
        <f t="shared" si="30"/>
        <v xml:space="preserve"> </v>
      </c>
      <c r="T45" s="106" t="str">
        <f t="shared" si="30"/>
        <v xml:space="preserve"> </v>
      </c>
      <c r="U45" s="106" t="str">
        <f t="shared" si="30"/>
        <v xml:space="preserve"> </v>
      </c>
      <c r="V45" s="106" t="str">
        <f t="shared" si="30"/>
        <v xml:space="preserve"> </v>
      </c>
      <c r="W45" s="106" t="str">
        <f t="shared" si="30"/>
        <v xml:space="preserve"> </v>
      </c>
      <c r="X45" s="106" t="str">
        <f t="shared" si="30"/>
        <v xml:space="preserve"> </v>
      </c>
      <c r="Y45" s="106" t="str">
        <f t="shared" si="30"/>
        <v xml:space="preserve"> </v>
      </c>
      <c r="Z45" s="106" t="str">
        <f t="shared" si="30"/>
        <v xml:space="preserve"> </v>
      </c>
      <c r="AA45" s="106" t="str">
        <f t="shared" si="30"/>
        <v xml:space="preserve"> </v>
      </c>
      <c r="AB45" s="106" t="str">
        <f t="shared" si="30"/>
        <v xml:space="preserve"> </v>
      </c>
    </row>
    <row r="46" spans="1:30" ht="15" thickBot="1" x14ac:dyDescent="0.35">
      <c r="A46" s="101" t="s">
        <v>46</v>
      </c>
      <c r="B46" s="97"/>
      <c r="C46" s="107"/>
      <c r="D46" s="107"/>
      <c r="E46" s="107">
        <f>IF(E42=" "," ", (E45*E42))</f>
        <v>-2010.7157803926111</v>
      </c>
      <c r="F46" s="107">
        <f t="shared" ref="F46:AB46" si="31">IF(F42=" "," ", (F45*F42))</f>
        <v>500.58702831128039</v>
      </c>
      <c r="G46" s="107">
        <f t="shared" si="31"/>
        <v>509.32291598532504</v>
      </c>
      <c r="H46" s="107">
        <f t="shared" si="31"/>
        <v>561.49443904545944</v>
      </c>
      <c r="I46" s="107">
        <f t="shared" si="31"/>
        <v>534.75660861472329</v>
      </c>
      <c r="J46" s="107">
        <f t="shared" si="31"/>
        <v>509.2920082044983</v>
      </c>
      <c r="K46" s="107">
        <f t="shared" si="31"/>
        <v>485.04000781380796</v>
      </c>
      <c r="L46" s="107">
        <f t="shared" si="31"/>
        <v>461.94286458457896</v>
      </c>
      <c r="M46" s="107">
        <f t="shared" si="31"/>
        <v>439.94558531864669</v>
      </c>
      <c r="N46" s="107">
        <f t="shared" si="31"/>
        <v>884.09950953461862</v>
      </c>
      <c r="O46" s="107" t="str">
        <f t="shared" si="31"/>
        <v xml:space="preserve"> </v>
      </c>
      <c r="P46" s="107" t="str">
        <f t="shared" si="31"/>
        <v xml:space="preserve"> </v>
      </c>
      <c r="Q46" s="107" t="str">
        <f t="shared" si="31"/>
        <v xml:space="preserve"> </v>
      </c>
      <c r="R46" s="107" t="str">
        <f t="shared" si="31"/>
        <v xml:space="preserve"> </v>
      </c>
      <c r="S46" s="107" t="str">
        <f t="shared" si="31"/>
        <v xml:space="preserve"> </v>
      </c>
      <c r="T46" s="107" t="str">
        <f t="shared" si="31"/>
        <v xml:space="preserve"> </v>
      </c>
      <c r="U46" s="107" t="str">
        <f t="shared" si="31"/>
        <v xml:space="preserve"> </v>
      </c>
      <c r="V46" s="107" t="str">
        <f t="shared" si="31"/>
        <v xml:space="preserve"> </v>
      </c>
      <c r="W46" s="107" t="str">
        <f t="shared" si="31"/>
        <v xml:space="preserve"> </v>
      </c>
      <c r="X46" s="107" t="str">
        <f t="shared" si="31"/>
        <v xml:space="preserve"> </v>
      </c>
      <c r="Y46" s="107" t="str">
        <f t="shared" si="31"/>
        <v xml:space="preserve"> </v>
      </c>
      <c r="Z46" s="107" t="str">
        <f t="shared" si="31"/>
        <v xml:space="preserve"> </v>
      </c>
      <c r="AA46" s="107" t="str">
        <f t="shared" si="31"/>
        <v xml:space="preserve"> </v>
      </c>
      <c r="AB46" s="107" t="str">
        <f t="shared" si="31"/>
        <v xml:space="preserve"> </v>
      </c>
      <c r="AC46" s="9">
        <f>SUM(C46:AB46)</f>
        <v>2875.7651870203272</v>
      </c>
      <c r="AD46" s="91" t="s">
        <v>61</v>
      </c>
    </row>
    <row r="47" spans="1:30" x14ac:dyDescent="0.3">
      <c r="A47" s="103"/>
      <c r="B47" s="10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13"/>
    </row>
    <row r="48" spans="1:30" s="97" customFormat="1" x14ac:dyDescent="0.3">
      <c r="A48" s="94" t="s">
        <v>53</v>
      </c>
      <c r="B48" s="95"/>
      <c r="C48" s="96"/>
      <c r="H48" s="95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68"/>
    </row>
    <row r="49" spans="1:30" x14ac:dyDescent="0.3">
      <c r="A49" s="100" t="s">
        <v>50</v>
      </c>
      <c r="B49" s="100"/>
      <c r="C49" s="115">
        <f>C50+1</f>
        <v>1</v>
      </c>
      <c r="D49" s="115">
        <f t="shared" ref="D49:AB49" si="32">IF(rn=D50, 2, C49+1)</f>
        <v>2</v>
      </c>
      <c r="E49" s="115">
        <f t="shared" si="32"/>
        <v>2</v>
      </c>
      <c r="F49" s="115">
        <f t="shared" si="32"/>
        <v>3</v>
      </c>
      <c r="G49" s="115">
        <f t="shared" si="32"/>
        <v>4</v>
      </c>
      <c r="H49" s="115">
        <f t="shared" si="32"/>
        <v>5</v>
      </c>
      <c r="I49" s="115">
        <f t="shared" si="32"/>
        <v>6</v>
      </c>
      <c r="J49" s="115">
        <f t="shared" si="32"/>
        <v>7</v>
      </c>
      <c r="K49" s="115">
        <f t="shared" si="32"/>
        <v>8</v>
      </c>
      <c r="L49" s="115">
        <f t="shared" si="32"/>
        <v>9</v>
      </c>
      <c r="M49" s="115">
        <f t="shared" si="32"/>
        <v>10</v>
      </c>
      <c r="N49" s="115">
        <f t="shared" si="32"/>
        <v>11</v>
      </c>
      <c r="O49" s="115">
        <f t="shared" si="32"/>
        <v>12</v>
      </c>
      <c r="P49" s="115">
        <f t="shared" si="32"/>
        <v>13</v>
      </c>
      <c r="Q49" s="115">
        <f t="shared" si="32"/>
        <v>14</v>
      </c>
      <c r="R49" s="115">
        <f t="shared" si="32"/>
        <v>15</v>
      </c>
      <c r="S49" s="115">
        <f t="shared" si="32"/>
        <v>16</v>
      </c>
      <c r="T49" s="115">
        <f t="shared" si="32"/>
        <v>17</v>
      </c>
      <c r="U49" s="115">
        <f t="shared" si="32"/>
        <v>18</v>
      </c>
      <c r="V49" s="115">
        <f t="shared" si="32"/>
        <v>19</v>
      </c>
      <c r="W49" s="115">
        <f t="shared" si="32"/>
        <v>20</v>
      </c>
      <c r="X49" s="115">
        <f t="shared" si="32"/>
        <v>21</v>
      </c>
      <c r="Y49" s="115">
        <f t="shared" si="32"/>
        <v>22</v>
      </c>
      <c r="Z49" s="115">
        <f t="shared" si="32"/>
        <v>23</v>
      </c>
      <c r="AA49" s="115">
        <f t="shared" si="32"/>
        <v>24</v>
      </c>
      <c r="AB49" s="115">
        <f t="shared" si="32"/>
        <v>25</v>
      </c>
      <c r="AC49" s="31"/>
      <c r="AD49" s="13"/>
    </row>
    <row r="50" spans="1:30" x14ac:dyDescent="0.3">
      <c r="A50" s="101" t="s">
        <v>43</v>
      </c>
      <c r="B50" s="101"/>
      <c r="C50" s="116">
        <v>0</v>
      </c>
      <c r="D50" s="116">
        <f t="shared" ref="D50:AB50" si="33">IF(C50=(PC+rn)," ",(IF(C50=" "," ",C50+1)))</f>
        <v>1</v>
      </c>
      <c r="E50" s="116">
        <f t="shared" si="33"/>
        <v>2</v>
      </c>
      <c r="F50" s="116">
        <f t="shared" si="33"/>
        <v>3</v>
      </c>
      <c r="G50" s="116">
        <f t="shared" si="33"/>
        <v>4</v>
      </c>
      <c r="H50" s="116">
        <f t="shared" si="33"/>
        <v>5</v>
      </c>
      <c r="I50" s="116">
        <f t="shared" si="33"/>
        <v>6</v>
      </c>
      <c r="J50" s="116">
        <f t="shared" si="33"/>
        <v>7</v>
      </c>
      <c r="K50" s="116">
        <f t="shared" si="33"/>
        <v>8</v>
      </c>
      <c r="L50" s="116">
        <f t="shared" si="33"/>
        <v>9</v>
      </c>
      <c r="M50" s="116">
        <f t="shared" si="33"/>
        <v>10</v>
      </c>
      <c r="N50" s="116">
        <f t="shared" si="33"/>
        <v>11</v>
      </c>
      <c r="O50" s="116">
        <f t="shared" si="33"/>
        <v>12</v>
      </c>
      <c r="P50" s="116" t="str">
        <f t="shared" si="33"/>
        <v xml:space="preserve"> </v>
      </c>
      <c r="Q50" s="116" t="str">
        <f t="shared" si="33"/>
        <v xml:space="preserve"> </v>
      </c>
      <c r="R50" s="116" t="str">
        <f t="shared" si="33"/>
        <v xml:space="preserve"> </v>
      </c>
      <c r="S50" s="116" t="str">
        <f t="shared" si="33"/>
        <v xml:space="preserve"> </v>
      </c>
      <c r="T50" s="116" t="str">
        <f t="shared" si="33"/>
        <v xml:space="preserve"> </v>
      </c>
      <c r="U50" s="116" t="str">
        <f t="shared" si="33"/>
        <v xml:space="preserve"> </v>
      </c>
      <c r="V50" s="116" t="str">
        <f t="shared" si="33"/>
        <v xml:space="preserve"> </v>
      </c>
      <c r="W50" s="116" t="str">
        <f t="shared" si="33"/>
        <v xml:space="preserve"> </v>
      </c>
      <c r="X50" s="116" t="str">
        <f t="shared" si="33"/>
        <v xml:space="preserve"> </v>
      </c>
      <c r="Y50" s="116" t="str">
        <f t="shared" si="33"/>
        <v xml:space="preserve"> </v>
      </c>
      <c r="Z50" s="116" t="str">
        <f t="shared" si="33"/>
        <v xml:space="preserve"> </v>
      </c>
      <c r="AA50" s="116" t="str">
        <f t="shared" si="33"/>
        <v xml:space="preserve"> </v>
      </c>
      <c r="AB50" s="116" t="str">
        <f t="shared" si="33"/>
        <v xml:space="preserve"> </v>
      </c>
      <c r="AC50" s="11" t="str">
        <f>IF(AB50=(PC+3)," ",(IF(AB50=" "," ",AB50+1)))</f>
        <v xml:space="preserve"> </v>
      </c>
      <c r="AD50" s="13"/>
    </row>
    <row r="51" spans="1:30" x14ac:dyDescent="0.3">
      <c r="A51" s="101" t="s">
        <v>44</v>
      </c>
      <c r="B51" s="101"/>
      <c r="C51" s="102"/>
      <c r="D51" s="102"/>
      <c r="E51" s="102">
        <f>IF(E50=" ", " ",(IF(Age&lt;'NPV Scenario 2'!E49, " ", (IF(E50&gt;=rn, 1/(1+i)^(E50-rn)," ")))))</f>
        <v>1</v>
      </c>
      <c r="F51" s="102">
        <f>IF(F50=" ", " ",(IF(Age&lt;'NPV Scenario 2'!F49, " ", (IF(F50&gt;=rn, 1/(1+i)^(F50-rn)," ")))))</f>
        <v>0.95238095238095233</v>
      </c>
      <c r="G51" s="102">
        <f>IF(G50=" ", " ",(IF(Age&lt;'NPV Scenario 2'!G49, " ", (IF(G50&gt;=rn, 1/(1+i)^(G50-rn)," ")))))</f>
        <v>0.90702947845804982</v>
      </c>
      <c r="H51" s="102">
        <f>IF(H50=" ", " ",(IF(Age&lt;'NPV Scenario 2'!H49, " ", (IF(H50&gt;=rn, 1/(1+i)^(H50-rn)," ")))))</f>
        <v>0.86383759853147601</v>
      </c>
      <c r="I51" s="102">
        <f>IF(I50=" ", " ",(IF(Age&lt;'NPV Scenario 2'!I49, " ", (IF(I50&gt;=rn, 1/(1+i)^(I50-rn)," ")))))</f>
        <v>0.82270247479188197</v>
      </c>
      <c r="J51" s="102">
        <f>IF(J50=" ", " ",(IF(Age&lt;'NPV Scenario 2'!J49, " ", (IF(J50&gt;=rn, 1/(1+i)^(J50-rn)," ")))))</f>
        <v>0.78352616646845896</v>
      </c>
      <c r="K51" s="102">
        <f>IF(K50=" ", " ",(IF(Age&lt;'NPV Scenario 2'!K49, " ", (IF(K50&gt;=rn, 1/(1+i)^(K50-rn)," ")))))</f>
        <v>0.74621539663662761</v>
      </c>
      <c r="L51" s="102">
        <f>IF(L50=" ", " ",(IF(Age&lt;'NPV Scenario 2'!L49, " ", (IF(L50&gt;=rn, 1/(1+i)^(L50-rn)," ")))))</f>
        <v>0.71068133013012147</v>
      </c>
      <c r="M51" s="102">
        <f>IF(M50=" ", " ",(IF(Age&lt;'NPV Scenario 2'!M49, " ", (IF(M50&gt;=rn, 1/(1+i)^(M50-rn)," ")))))</f>
        <v>0.67683936202868722</v>
      </c>
      <c r="N51" s="102">
        <f>IF(N50=" ", " ",(IF(Age&lt;'NPV Scenario 2'!N49, " ", (IF(N50&gt;=rn, 1/(1+i)^(N50-rn)," ")))))</f>
        <v>0.64460891621779726</v>
      </c>
      <c r="O51" s="102" t="str">
        <f>IF(O50=" ", " ",(IF(Age&lt;'NPV Scenario 2'!O49, " ", (IF(O50&gt;=rn, 1/(1+i)^(O50-rn)," ")))))</f>
        <v xml:space="preserve"> </v>
      </c>
      <c r="P51" s="102" t="str">
        <f>IF(P50=" ", " ",(IF(Age&lt;'NPV Scenario 2'!P49, " ", (IF(P50&gt;=rn, 1/(1+i)^(P50-rn)," ")))))</f>
        <v xml:space="preserve"> </v>
      </c>
      <c r="Q51" s="102" t="str">
        <f>IF(Q50=" ", " ",(IF(Age&lt;'NPV Scenario 2'!Q49, " ", (IF(Q50&gt;=rn, 1/(1+i)^(Q50-rn)," ")))))</f>
        <v xml:space="preserve"> </v>
      </c>
      <c r="R51" s="102" t="str">
        <f>IF(R50=" ", " ",(IF(Age&lt;'NPV Scenario 2'!R49, " ", (IF(R50&gt;=rn, 1/(1+i)^(R50-rn)," ")))))</f>
        <v xml:space="preserve"> </v>
      </c>
      <c r="S51" s="102" t="str">
        <f>IF(S50=" ", " ",(IF(Age&lt;'NPV Scenario 2'!S49, " ", (IF(S50&gt;=rn, 1/(1+i)^(S50-rn)," ")))))</f>
        <v xml:space="preserve"> </v>
      </c>
      <c r="T51" s="102" t="str">
        <f>IF(T50=" ", " ",(IF(Age&lt;'NPV Scenario 2'!T49, " ", (IF(T50&gt;=rn, 1/(1+i)^(T50-rn)," ")))))</f>
        <v xml:space="preserve"> </v>
      </c>
      <c r="U51" s="102" t="str">
        <f>IF(U50=" ", " ",(IF(Age&lt;'NPV Scenario 2'!U49, " ", (IF(U50&gt;=rn, 1/(1+i)^(U50-rn)," ")))))</f>
        <v xml:space="preserve"> </v>
      </c>
      <c r="V51" s="102" t="str">
        <f>IF(V50=" ", " ",(IF(Age&lt;'NPV Scenario 2'!V49, " ", (IF(V50&gt;=rn, 1/(1+i)^(V50-rn)," ")))))</f>
        <v xml:space="preserve"> </v>
      </c>
      <c r="W51" s="102" t="str">
        <f>IF(W50=" ", " ",(IF(Age&lt;'NPV Scenario 2'!W49, " ", (IF(W50&gt;=rn, 1/(1+i)^(W50-rn)," ")))))</f>
        <v xml:space="preserve"> </v>
      </c>
      <c r="X51" s="102" t="str">
        <f>IF(X50=" ", " ",(IF(Age&lt;'NPV Scenario 2'!X49, " ", (IF(X50&gt;=rn, 1/(1+i)^(X50-rn)," ")))))</f>
        <v xml:space="preserve"> </v>
      </c>
      <c r="Y51" s="102" t="str">
        <f>IF(Y50=" ", " ",(IF(Age&lt;'NPV Scenario 2'!Y49, " ", (IF(Y50&gt;=rn, 1/(1+i)^(Y50-rn)," ")))))</f>
        <v xml:space="preserve"> </v>
      </c>
      <c r="Z51" s="102" t="str">
        <f>IF(Z50=" ", " ",(IF(Age&lt;'NPV Scenario 2'!Z49, " ", (IF(Z50&gt;=rn, 1/(1+i)^(Z50-rn)," ")))))</f>
        <v xml:space="preserve"> </v>
      </c>
      <c r="AA51" s="102" t="str">
        <f>IF(AA50=" ", " ",(IF(Age&lt;'NPV Scenario 2'!AA49, " ", (IF(AA50&gt;=rn, 1/(1+i)^(AA50-rn)," ")))))</f>
        <v xml:space="preserve"> </v>
      </c>
      <c r="AB51" s="102" t="str">
        <f>IF(AB50=" ", " ",(IF(Age&lt;'NPV Scenario 2'!AB49, " ", (IF(AB50&gt;=rn, 1/(1+i)^(AB50-rn)," ")))))</f>
        <v xml:space="preserve"> </v>
      </c>
      <c r="AC51" s="31"/>
      <c r="AD51" s="13"/>
    </row>
    <row r="52" spans="1:30" x14ac:dyDescent="0.3">
      <c r="A52" s="103" t="s">
        <v>27</v>
      </c>
      <c r="B52" s="103"/>
      <c r="C52" s="105"/>
      <c r="E52" s="105" cm="1">
        <f t="array" ref="E52">IF(E51=" "," ",(IF(D50=on,-vc,((('Variable Inputs'!$C$27-(VLOOKUP(E49, 'Probabilities &amp; Price Slide'!$B$20:$E$29,4, FALSE)))*(_xlfn.IFS(E49=2, ('Variable Inputs'!$C$28+(VLOOKUP('Variable Inputs'!$C$27,'Probabilities &amp; Price Slide'!$P$33:$T$370,3,TRUE))), E49=3, ('Variable Inputs'!$C$28+(VLOOKUP('Variable Inputs'!$C$27,'Probabilities &amp; Price Slide'!$P$33:$T$370,3,TRUE))), E49=4, ('Variable Inputs'!$C$28+(VLOOKUP('Variable Inputs'!$C$27,'Probabilities &amp; Price Slide'!$P$33:$T$370,3,TRUE))), E49=11, ('Variable Inputs'!$C$28+(VLOOKUP('Variable Inputs'!$C$27,'Probabilities &amp; Price Slide'!$P$33:$T$370,3,TRUE))), E49=5, 'Variable Inputs'!$C$28, E49=6, 'Variable Inputs'!$C$28, E49=7, 'Variable Inputs'!$C$28, E49=8, 'Variable Inputs'!$C$28, E49=9, 'Variable Inputs'!$C$28, E49=10, 'Variable Inputs'!$C$28)))-vc))))</f>
        <v>-450</v>
      </c>
      <c r="F52" s="105" cm="1">
        <f t="array" ref="F52">IF(F51=" "," ",(IF(E50=on,-vc,((('Variable Inputs'!$C$27-(VLOOKUP(F49, 'Probabilities &amp; Price Slide'!$B$20:$E$29,4, FALSE)))*(_xlfn.IFS(F49=2, ('Variable Inputs'!$C$28+(VLOOKUP('Variable Inputs'!$C$27,'Probabilities &amp; Price Slide'!$P$33:$T$370,3,TRUE))), F49=3, ('Variable Inputs'!$C$28+(VLOOKUP('Variable Inputs'!$C$27,'Probabilities &amp; Price Slide'!$P$33:$T$370,3,TRUE))), F49=4, ('Variable Inputs'!$C$28+(VLOOKUP('Variable Inputs'!$C$27,'Probabilities &amp; Price Slide'!$P$33:$T$370,3,TRUE))), F49=11, ('Variable Inputs'!$C$28+(VLOOKUP('Variable Inputs'!$C$27,'Probabilities &amp; Price Slide'!$P$33:$T$370,3,TRUE))), F49=5, 'Variable Inputs'!$C$28, F49=6, 'Variable Inputs'!$C$28, F49=7, 'Variable Inputs'!$C$28, F49=8, 'Variable Inputs'!$C$28, F49=9, 'Variable Inputs'!$C$28, F49=10, 'Variable Inputs'!$C$28)))-vc))))</f>
        <v>525.61637972684446</v>
      </c>
      <c r="G52" s="105" cm="1">
        <f t="array" ref="G52">IF(G51=" "," ",(IF(F50=on,-vc,((('Variable Inputs'!$C$27-(VLOOKUP(G49, 'Probabilities &amp; Price Slide'!$B$20:$E$29,4, FALSE)))*(_xlfn.IFS(G49=2, ('Variable Inputs'!$C$28+(VLOOKUP('Variable Inputs'!$C$27,'Probabilities &amp; Price Slide'!$P$33:$T$370,3,TRUE))), G49=3, ('Variable Inputs'!$C$28+(VLOOKUP('Variable Inputs'!$C$27,'Probabilities &amp; Price Slide'!$P$33:$T$370,3,TRUE))), G49=4, ('Variable Inputs'!$C$28+(VLOOKUP('Variable Inputs'!$C$27,'Probabilities &amp; Price Slide'!$P$33:$T$370,3,TRUE))), G49=11, ('Variable Inputs'!$C$28+(VLOOKUP('Variable Inputs'!$C$27,'Probabilities &amp; Price Slide'!$P$33:$T$370,3,TRUE))), G49=5, 'Variable Inputs'!$C$28, G49=6, 'Variable Inputs'!$C$28, G49=7, 'Variable Inputs'!$C$28, G49=8, 'Variable Inputs'!$C$28, G49=9, 'Variable Inputs'!$C$28, G49=10, 'Variable Inputs'!$C$28)))-vc))))</f>
        <v>561.52851487382088</v>
      </c>
      <c r="H52" s="105" cm="1">
        <f t="array" ref="H52">IF(H51=" "," ",(IF(G50=on,-vc,((('Variable Inputs'!$C$27-(VLOOKUP(H49, 'Probabilities &amp; Price Slide'!$B$20:$E$29,4, FALSE)))*(_xlfn.IFS(H49=2, ('Variable Inputs'!$C$28+(VLOOKUP('Variable Inputs'!$C$27,'Probabilities &amp; Price Slide'!$P$33:$T$370,3,TRUE))), H49=3, ('Variable Inputs'!$C$28+(VLOOKUP('Variable Inputs'!$C$27,'Probabilities &amp; Price Slide'!$P$33:$T$370,3,TRUE))), H49=4, ('Variable Inputs'!$C$28+(VLOOKUP('Variable Inputs'!$C$27,'Probabilities &amp; Price Slide'!$P$33:$T$370,3,TRUE))), H49=11, ('Variable Inputs'!$C$28+(VLOOKUP('Variable Inputs'!$C$27,'Probabilities &amp; Price Slide'!$P$33:$T$370,3,TRUE))), H49=5, 'Variable Inputs'!$C$28, H49=6, 'Variable Inputs'!$C$28, H49=7, 'Variable Inputs'!$C$28, H49=8, 'Variable Inputs'!$C$28, H49=9, 'Variable Inputs'!$C$28, H49=10, 'Variable Inputs'!$C$28)))-vc))))</f>
        <v>650</v>
      </c>
      <c r="I52" s="105" cm="1">
        <f t="array" ref="I52">IF(I51=" "," ",(IF(H50=on,-vc,((('Variable Inputs'!$C$27-(VLOOKUP(I49, 'Probabilities &amp; Price Slide'!$B$20:$E$29,4, FALSE)))*(_xlfn.IFS(I49=2, ('Variable Inputs'!$C$28+(VLOOKUP('Variable Inputs'!$C$27,'Probabilities &amp; Price Slide'!$P$33:$T$370,3,TRUE))), I49=3, ('Variable Inputs'!$C$28+(VLOOKUP('Variable Inputs'!$C$27,'Probabilities &amp; Price Slide'!$P$33:$T$370,3,TRUE))), I49=4, ('Variable Inputs'!$C$28+(VLOOKUP('Variable Inputs'!$C$27,'Probabilities &amp; Price Slide'!$P$33:$T$370,3,TRUE))), I49=11, ('Variable Inputs'!$C$28+(VLOOKUP('Variable Inputs'!$C$27,'Probabilities &amp; Price Slide'!$P$33:$T$370,3,TRUE))), I49=5, 'Variable Inputs'!$C$28, I49=6, 'Variable Inputs'!$C$28, I49=7, 'Variable Inputs'!$C$28, I49=8, 'Variable Inputs'!$C$28, I49=9, 'Variable Inputs'!$C$28, I49=10, 'Variable Inputs'!$C$28)))-vc))))</f>
        <v>650</v>
      </c>
      <c r="J52" s="105" cm="1">
        <f t="array" ref="J52">IF(J51=" "," ",(IF(I50=on,-vc,((('Variable Inputs'!$C$27-(VLOOKUP(J49, 'Probabilities &amp; Price Slide'!$B$20:$E$29,4, FALSE)))*(_xlfn.IFS(J49=2, ('Variable Inputs'!$C$28+(VLOOKUP('Variable Inputs'!$C$27,'Probabilities &amp; Price Slide'!$P$33:$T$370,3,TRUE))), J49=3, ('Variable Inputs'!$C$28+(VLOOKUP('Variable Inputs'!$C$27,'Probabilities &amp; Price Slide'!$P$33:$T$370,3,TRUE))), J49=4, ('Variable Inputs'!$C$28+(VLOOKUP('Variable Inputs'!$C$27,'Probabilities &amp; Price Slide'!$P$33:$T$370,3,TRUE))), J49=11, ('Variable Inputs'!$C$28+(VLOOKUP('Variable Inputs'!$C$27,'Probabilities &amp; Price Slide'!$P$33:$T$370,3,TRUE))), J49=5, 'Variable Inputs'!$C$28, J49=6, 'Variable Inputs'!$C$28, J49=7, 'Variable Inputs'!$C$28, J49=8, 'Variable Inputs'!$C$28, J49=9, 'Variable Inputs'!$C$28, J49=10, 'Variable Inputs'!$C$28)))-vc))))</f>
        <v>650</v>
      </c>
      <c r="K52" s="105" cm="1">
        <f t="array" ref="K52">IF(K51=" "," ",(IF(J50=on,-vc,((('Variable Inputs'!$C$27-(VLOOKUP(K49, 'Probabilities &amp; Price Slide'!$B$20:$E$29,4, FALSE)))*(_xlfn.IFS(K49=2, ('Variable Inputs'!$C$28+(VLOOKUP('Variable Inputs'!$C$27,'Probabilities &amp; Price Slide'!$P$33:$T$370,3,TRUE))), K49=3, ('Variable Inputs'!$C$28+(VLOOKUP('Variable Inputs'!$C$27,'Probabilities &amp; Price Slide'!$P$33:$T$370,3,TRUE))), K49=4, ('Variable Inputs'!$C$28+(VLOOKUP('Variable Inputs'!$C$27,'Probabilities &amp; Price Slide'!$P$33:$T$370,3,TRUE))), K49=11, ('Variable Inputs'!$C$28+(VLOOKUP('Variable Inputs'!$C$27,'Probabilities &amp; Price Slide'!$P$33:$T$370,3,TRUE))), K49=5, 'Variable Inputs'!$C$28, K49=6, 'Variable Inputs'!$C$28, K49=7, 'Variable Inputs'!$C$28, K49=8, 'Variable Inputs'!$C$28, K49=9, 'Variable Inputs'!$C$28, K49=10, 'Variable Inputs'!$C$28)))-vc))))</f>
        <v>650</v>
      </c>
      <c r="L52" s="105" cm="1">
        <f t="array" ref="L52">IF(L51=" "," ",(IF(K50=on,-vc,((('Variable Inputs'!$C$27-(VLOOKUP(L49, 'Probabilities &amp; Price Slide'!$B$20:$E$29,4, FALSE)))*(_xlfn.IFS(L49=2, ('Variable Inputs'!$C$28+(VLOOKUP('Variable Inputs'!$C$27,'Probabilities &amp; Price Slide'!$P$33:$T$370,3,TRUE))), L49=3, ('Variable Inputs'!$C$28+(VLOOKUP('Variable Inputs'!$C$27,'Probabilities &amp; Price Slide'!$P$33:$T$370,3,TRUE))), L49=4, ('Variable Inputs'!$C$28+(VLOOKUP('Variable Inputs'!$C$27,'Probabilities &amp; Price Slide'!$P$33:$T$370,3,TRUE))), L49=11, ('Variable Inputs'!$C$28+(VLOOKUP('Variable Inputs'!$C$27,'Probabilities &amp; Price Slide'!$P$33:$T$370,3,TRUE))), L49=5, 'Variable Inputs'!$C$28, L49=6, 'Variable Inputs'!$C$28, L49=7, 'Variable Inputs'!$C$28, L49=8, 'Variable Inputs'!$C$28, L49=9, 'Variable Inputs'!$C$28, L49=10, 'Variable Inputs'!$C$28)))-vc))))</f>
        <v>650</v>
      </c>
      <c r="M52" s="105" cm="1">
        <f t="array" ref="M52">IF(M51=" "," ",(IF(L50=on,-vc,((('Variable Inputs'!$C$27-(VLOOKUP(M49, 'Probabilities &amp; Price Slide'!$B$20:$E$29,4, FALSE)))*(_xlfn.IFS(M49=2, ('Variable Inputs'!$C$28+(VLOOKUP('Variable Inputs'!$C$27,'Probabilities &amp; Price Slide'!$P$33:$T$370,3,TRUE))), M49=3, ('Variable Inputs'!$C$28+(VLOOKUP('Variable Inputs'!$C$27,'Probabilities &amp; Price Slide'!$P$33:$T$370,3,TRUE))), M49=4, ('Variable Inputs'!$C$28+(VLOOKUP('Variable Inputs'!$C$27,'Probabilities &amp; Price Slide'!$P$33:$T$370,3,TRUE))), M49=11, ('Variable Inputs'!$C$28+(VLOOKUP('Variable Inputs'!$C$27,'Probabilities &amp; Price Slide'!$P$33:$T$370,3,TRUE))), M49=5, 'Variable Inputs'!$C$28, M49=6, 'Variable Inputs'!$C$28, M49=7, 'Variable Inputs'!$C$28, M49=8, 'Variable Inputs'!$C$28, M49=9, 'Variable Inputs'!$C$28, M49=10, 'Variable Inputs'!$C$28)))-vc))))</f>
        <v>650</v>
      </c>
      <c r="N52" s="105" cm="1">
        <f t="array" ref="N52">IF(N51=" "," ",(IF(M50=on,-vc,((('Variable Inputs'!$C$27-(VLOOKUP(N49, 'Probabilities &amp; Price Slide'!$B$20:$E$29,4, FALSE)))*(_xlfn.IFS(N49=2, ('Variable Inputs'!$C$28+(VLOOKUP('Variable Inputs'!$C$27,'Probabilities &amp; Price Slide'!$P$33:$T$370,3,TRUE))), N49=3, ('Variable Inputs'!$C$28+(VLOOKUP('Variable Inputs'!$C$27,'Probabilities &amp; Price Slide'!$P$33:$T$370,3,TRUE))), N49=4, ('Variable Inputs'!$C$28+(VLOOKUP('Variable Inputs'!$C$27,'Probabilities &amp; Price Slide'!$P$33:$T$370,3,TRUE))), N49=11, ('Variable Inputs'!$C$28+(VLOOKUP('Variable Inputs'!$C$27,'Probabilities &amp; Price Slide'!$P$33:$T$370,3,TRUE))), N49=5, 'Variable Inputs'!$C$28, N49=6, 'Variable Inputs'!$C$28, N49=7, 'Variable Inputs'!$C$28, N49=8, 'Variable Inputs'!$C$28, N49=9, 'Variable Inputs'!$C$28, N49=10, 'Variable Inputs'!$C$28)))-vc))))</f>
        <v>561.52851487382088</v>
      </c>
      <c r="O52" s="105" t="str" cm="1">
        <f t="array" ref="O52">IF(O51=" "," ",(IF(N50=on,-vc,((('Variable Inputs'!$C$27-(VLOOKUP(O49, 'Probabilities &amp; Price Slide'!$B$20:$E$29,4, FALSE)))*(_xlfn.IFS(O49=2, ('Variable Inputs'!$C$28+(VLOOKUP('Variable Inputs'!$C$27,'Probabilities &amp; Price Slide'!$P$33:$T$370,3,TRUE))), O49=3, ('Variable Inputs'!$C$28+(VLOOKUP('Variable Inputs'!$C$27,'Probabilities &amp; Price Slide'!$P$33:$T$370,3,TRUE))), O49=4, ('Variable Inputs'!$C$28+(VLOOKUP('Variable Inputs'!$C$27,'Probabilities &amp; Price Slide'!$P$33:$T$370,3,TRUE))), O49=11, ('Variable Inputs'!$C$28+(VLOOKUP('Variable Inputs'!$C$27,'Probabilities &amp; Price Slide'!$P$33:$T$370,3,TRUE))), O49=5, 'Variable Inputs'!$C$28, O49=6, 'Variable Inputs'!$C$28, O49=7, 'Variable Inputs'!$C$28, O49=8, 'Variable Inputs'!$C$28, O49=9, 'Variable Inputs'!$C$28, O49=10, 'Variable Inputs'!$C$28)))-vc))))</f>
        <v xml:space="preserve"> </v>
      </c>
      <c r="P52" s="105" t="str" cm="1">
        <f t="array" ref="P52">IF(P51=" "," ",(IF(O50=on,-vc,((('Variable Inputs'!$C$27-(VLOOKUP(P49, 'Probabilities &amp; Price Slide'!$B$20:$E$29,4, FALSE)))*(_xlfn.IFS(P49=2, ('Variable Inputs'!$C$28+(VLOOKUP('Variable Inputs'!$C$27,'Probabilities &amp; Price Slide'!$P$33:$T$370,3,TRUE))), P49=3, ('Variable Inputs'!$C$28+(VLOOKUP('Variable Inputs'!$C$27,'Probabilities &amp; Price Slide'!$P$33:$T$370,3,TRUE))), P49=4, ('Variable Inputs'!$C$28+(VLOOKUP('Variable Inputs'!$C$27,'Probabilities &amp; Price Slide'!$P$33:$T$370,3,TRUE))), P49=11, ('Variable Inputs'!$C$28+(VLOOKUP('Variable Inputs'!$C$27,'Probabilities &amp; Price Slide'!$P$33:$T$370,3,TRUE))), P49=5, 'Variable Inputs'!$C$28, P49=6, 'Variable Inputs'!$C$28, P49=7, 'Variable Inputs'!$C$28, P49=8, 'Variable Inputs'!$C$28, P49=9, 'Variable Inputs'!$C$28, P49=10, 'Variable Inputs'!$C$28)))-vc))))</f>
        <v xml:space="preserve"> </v>
      </c>
      <c r="Q52" s="105" t="str" cm="1">
        <f t="array" ref="Q52">IF(Q51=" "," ",(IF(P50=on,-vc,((('Variable Inputs'!$C$27-(VLOOKUP(Q49, 'Probabilities &amp; Price Slide'!$B$20:$E$29,4, FALSE)))*(_xlfn.IFS(Q49=2, ('Variable Inputs'!$C$28+(VLOOKUP('Variable Inputs'!$C$27,'Probabilities &amp; Price Slide'!$P$33:$T$370,3,TRUE))), Q49=3, ('Variable Inputs'!$C$28+(VLOOKUP('Variable Inputs'!$C$27,'Probabilities &amp; Price Slide'!$P$33:$T$370,3,TRUE))), Q49=4, ('Variable Inputs'!$C$28+(VLOOKUP('Variable Inputs'!$C$27,'Probabilities &amp; Price Slide'!$P$33:$T$370,3,TRUE))), Q49=11, ('Variable Inputs'!$C$28+(VLOOKUP('Variable Inputs'!$C$27,'Probabilities &amp; Price Slide'!$P$33:$T$370,3,TRUE))), Q49=5, 'Variable Inputs'!$C$28, Q49=6, 'Variable Inputs'!$C$28, Q49=7, 'Variable Inputs'!$C$28, Q49=8, 'Variable Inputs'!$C$28, Q49=9, 'Variable Inputs'!$C$28, Q49=10, 'Variable Inputs'!$C$28)))-vc))))</f>
        <v xml:space="preserve"> </v>
      </c>
      <c r="R52" s="105" t="str" cm="1">
        <f t="array" ref="R52">IF(R51=" "," ",(IF(Q50=on,-vc,((('Variable Inputs'!$C$27-(VLOOKUP(R49, 'Probabilities &amp; Price Slide'!$B$20:$E$29,4, FALSE)))*(_xlfn.IFS(R49=2, ('Variable Inputs'!$C$28+(VLOOKUP('Variable Inputs'!$C$27,'Probabilities &amp; Price Slide'!$P$33:$T$370,3,TRUE))), R49=3, ('Variable Inputs'!$C$28+(VLOOKUP('Variable Inputs'!$C$27,'Probabilities &amp; Price Slide'!$P$33:$T$370,3,TRUE))), R49=4, ('Variable Inputs'!$C$28+(VLOOKUP('Variable Inputs'!$C$27,'Probabilities &amp; Price Slide'!$P$33:$T$370,3,TRUE))), R49=11, ('Variable Inputs'!$C$28+(VLOOKUP('Variable Inputs'!$C$27,'Probabilities &amp; Price Slide'!$P$33:$T$370,3,TRUE))), R49=5, 'Variable Inputs'!$C$28, R49=6, 'Variable Inputs'!$C$28, R49=7, 'Variable Inputs'!$C$28, R49=8, 'Variable Inputs'!$C$28, R49=9, 'Variable Inputs'!$C$28, R49=10, 'Variable Inputs'!$C$28)))-vc))))</f>
        <v xml:space="preserve"> </v>
      </c>
      <c r="S52" s="105" t="str" cm="1">
        <f t="array" ref="S52">IF(S51=" "," ",(IF(R50=on,-vc,((('Variable Inputs'!$C$27-(VLOOKUP(S49, 'Probabilities &amp; Price Slide'!$B$20:$E$29,4, FALSE)))*(_xlfn.IFS(S49=2, ('Variable Inputs'!$C$28+(VLOOKUP('Variable Inputs'!$C$27,'Probabilities &amp; Price Slide'!$P$33:$T$370,3,TRUE))), S49=3, ('Variable Inputs'!$C$28+(VLOOKUP('Variable Inputs'!$C$27,'Probabilities &amp; Price Slide'!$P$33:$T$370,3,TRUE))), S49=4, ('Variable Inputs'!$C$28+(VLOOKUP('Variable Inputs'!$C$27,'Probabilities &amp; Price Slide'!$P$33:$T$370,3,TRUE))), S49=11, ('Variable Inputs'!$C$28+(VLOOKUP('Variable Inputs'!$C$27,'Probabilities &amp; Price Slide'!$P$33:$T$370,3,TRUE))), S49=5, 'Variable Inputs'!$C$28, S49=6, 'Variable Inputs'!$C$28, S49=7, 'Variable Inputs'!$C$28, S49=8, 'Variable Inputs'!$C$28, S49=9, 'Variable Inputs'!$C$28, S49=10, 'Variable Inputs'!$C$28)))-vc))))</f>
        <v xml:space="preserve"> </v>
      </c>
      <c r="T52" s="105" t="str" cm="1">
        <f t="array" ref="T52">IF(T51=" "," ",(IF(S50=on,-vc,((('Variable Inputs'!$C$27-(VLOOKUP(T49, 'Probabilities &amp; Price Slide'!$B$20:$E$29,4, FALSE)))*(_xlfn.IFS(T49=2, ('Variable Inputs'!$C$28+(VLOOKUP('Variable Inputs'!$C$27,'Probabilities &amp; Price Slide'!$P$33:$T$370,3,TRUE))), T49=3, ('Variable Inputs'!$C$28+(VLOOKUP('Variable Inputs'!$C$27,'Probabilities &amp; Price Slide'!$P$33:$T$370,3,TRUE))), T49=4, ('Variable Inputs'!$C$28+(VLOOKUP('Variable Inputs'!$C$27,'Probabilities &amp; Price Slide'!$P$33:$T$370,3,TRUE))), T49=11, ('Variable Inputs'!$C$28+(VLOOKUP('Variable Inputs'!$C$27,'Probabilities &amp; Price Slide'!$P$33:$T$370,3,TRUE))), T49=5, 'Variable Inputs'!$C$28, T49=6, 'Variable Inputs'!$C$28, T49=7, 'Variable Inputs'!$C$28, T49=8, 'Variable Inputs'!$C$28, T49=9, 'Variable Inputs'!$C$28, T49=10, 'Variable Inputs'!$C$28)))-vc))))</f>
        <v xml:space="preserve"> </v>
      </c>
      <c r="U52" s="105" t="str" cm="1">
        <f t="array" ref="U52">IF(U51=" "," ",(IF(T50=on,-vc,((('Variable Inputs'!$C$27-(VLOOKUP(U49, 'Probabilities &amp; Price Slide'!$B$20:$E$29,4, FALSE)))*(_xlfn.IFS(U49=2, ('Variable Inputs'!$C$28+(VLOOKUP('Variable Inputs'!$C$27,'Probabilities &amp; Price Slide'!$P$33:$T$370,3,TRUE))), U49=3, ('Variable Inputs'!$C$28+(VLOOKUP('Variable Inputs'!$C$27,'Probabilities &amp; Price Slide'!$P$33:$T$370,3,TRUE))), U49=4, ('Variable Inputs'!$C$28+(VLOOKUP('Variable Inputs'!$C$27,'Probabilities &amp; Price Slide'!$P$33:$T$370,3,TRUE))), U49=11, ('Variable Inputs'!$C$28+(VLOOKUP('Variable Inputs'!$C$27,'Probabilities &amp; Price Slide'!$P$33:$T$370,3,TRUE))), U49=5, 'Variable Inputs'!$C$28, U49=6, 'Variable Inputs'!$C$28, U49=7, 'Variable Inputs'!$C$28, U49=8, 'Variable Inputs'!$C$28, U49=9, 'Variable Inputs'!$C$28, U49=10, 'Variable Inputs'!$C$28)))-vc))))</f>
        <v xml:space="preserve"> </v>
      </c>
      <c r="V52" s="105" t="str" cm="1">
        <f t="array" ref="V52">IF(V51=" "," ",(IF(U50=on,-vc,((('Variable Inputs'!$C$27-(VLOOKUP(V49, 'Probabilities &amp; Price Slide'!$B$20:$E$29,4, FALSE)))*(_xlfn.IFS(V49=2, ('Variable Inputs'!$C$28+(VLOOKUP('Variable Inputs'!$C$27,'Probabilities &amp; Price Slide'!$P$33:$T$370,3,TRUE))), V49=3, ('Variable Inputs'!$C$28+(VLOOKUP('Variable Inputs'!$C$27,'Probabilities &amp; Price Slide'!$P$33:$T$370,3,TRUE))), V49=4, ('Variable Inputs'!$C$28+(VLOOKUP('Variable Inputs'!$C$27,'Probabilities &amp; Price Slide'!$P$33:$T$370,3,TRUE))), V49=11, ('Variable Inputs'!$C$28+(VLOOKUP('Variable Inputs'!$C$27,'Probabilities &amp; Price Slide'!$P$33:$T$370,3,TRUE))), V49=5, 'Variable Inputs'!$C$28, V49=6, 'Variable Inputs'!$C$28, V49=7, 'Variable Inputs'!$C$28, V49=8, 'Variable Inputs'!$C$28, V49=9, 'Variable Inputs'!$C$28, V49=10, 'Variable Inputs'!$C$28)))-vc))))</f>
        <v xml:space="preserve"> </v>
      </c>
      <c r="W52" s="105" t="str" cm="1">
        <f t="array" ref="W52">IF(W51=" "," ",(IF(V50=on,-vc,((('Variable Inputs'!$C$27-(VLOOKUP(W49, 'Probabilities &amp; Price Slide'!$B$20:$E$29,4, FALSE)))*(_xlfn.IFS(W49=2, ('Variable Inputs'!$C$28+(VLOOKUP('Variable Inputs'!$C$27,'Probabilities &amp; Price Slide'!$P$33:$T$370,3,TRUE))), W49=3, ('Variable Inputs'!$C$28+(VLOOKUP('Variable Inputs'!$C$27,'Probabilities &amp; Price Slide'!$P$33:$T$370,3,TRUE))), W49=4, ('Variable Inputs'!$C$28+(VLOOKUP('Variable Inputs'!$C$27,'Probabilities &amp; Price Slide'!$P$33:$T$370,3,TRUE))), W49=11, ('Variable Inputs'!$C$28+(VLOOKUP('Variable Inputs'!$C$27,'Probabilities &amp; Price Slide'!$P$33:$T$370,3,TRUE))), W49=5, 'Variable Inputs'!$C$28, W49=6, 'Variable Inputs'!$C$28, W49=7, 'Variable Inputs'!$C$28, W49=8, 'Variable Inputs'!$C$28, W49=9, 'Variable Inputs'!$C$28, W49=10, 'Variable Inputs'!$C$28)))-vc))))</f>
        <v xml:space="preserve"> </v>
      </c>
      <c r="X52" s="105" t="str" cm="1">
        <f t="array" ref="X52">IF(X51=" "," ",(IF(W50=on,-vc,((('Variable Inputs'!$C$27-(VLOOKUP(X49, 'Probabilities &amp; Price Slide'!$B$20:$E$29,4, FALSE)))*(_xlfn.IFS(X49=2, ('Variable Inputs'!$C$28+(VLOOKUP('Variable Inputs'!$C$27,'Probabilities &amp; Price Slide'!$P$33:$T$370,3,TRUE))), X49=3, ('Variable Inputs'!$C$28+(VLOOKUP('Variable Inputs'!$C$27,'Probabilities &amp; Price Slide'!$P$33:$T$370,3,TRUE))), X49=4, ('Variable Inputs'!$C$28+(VLOOKUP('Variable Inputs'!$C$27,'Probabilities &amp; Price Slide'!$P$33:$T$370,3,TRUE))), X49=11, ('Variable Inputs'!$C$28+(VLOOKUP('Variable Inputs'!$C$27,'Probabilities &amp; Price Slide'!$P$33:$T$370,3,TRUE))), X49=5, 'Variable Inputs'!$C$28, X49=6, 'Variable Inputs'!$C$28, X49=7, 'Variable Inputs'!$C$28, X49=8, 'Variable Inputs'!$C$28, X49=9, 'Variable Inputs'!$C$28, X49=10, 'Variable Inputs'!$C$28)))-vc))))</f>
        <v xml:space="preserve"> </v>
      </c>
      <c r="Y52" s="105" t="str" cm="1">
        <f t="array" ref="Y52">IF(Y51=" "," ",(IF(X50=on,-vc,((('Variable Inputs'!$C$27-(VLOOKUP(Y49, 'Probabilities &amp; Price Slide'!$B$20:$E$29,4, FALSE)))*(_xlfn.IFS(Y49=2, ('Variable Inputs'!$C$28+(VLOOKUP('Variable Inputs'!$C$27,'Probabilities &amp; Price Slide'!$P$33:$T$370,3,TRUE))), Y49=3, ('Variable Inputs'!$C$28+(VLOOKUP('Variable Inputs'!$C$27,'Probabilities &amp; Price Slide'!$P$33:$T$370,3,TRUE))), Y49=4, ('Variable Inputs'!$C$28+(VLOOKUP('Variable Inputs'!$C$27,'Probabilities &amp; Price Slide'!$P$33:$T$370,3,TRUE))), Y49=11, ('Variable Inputs'!$C$28+(VLOOKUP('Variable Inputs'!$C$27,'Probabilities &amp; Price Slide'!$P$33:$T$370,3,TRUE))), Y49=5, 'Variable Inputs'!$C$28, Y49=6, 'Variable Inputs'!$C$28, Y49=7, 'Variable Inputs'!$C$28, Y49=8, 'Variable Inputs'!$C$28, Y49=9, 'Variable Inputs'!$C$28, Y49=10, 'Variable Inputs'!$C$28)))-vc))))</f>
        <v xml:space="preserve"> </v>
      </c>
      <c r="Z52" s="105" t="str" cm="1">
        <f t="array" ref="Z52">IF(Z51=" "," ",(IF(Y50=on,-vc,((('Variable Inputs'!$C$27-(VLOOKUP(Z49, 'Probabilities &amp; Price Slide'!$B$20:$E$29,4, FALSE)))*(_xlfn.IFS(Z49=2, ('Variable Inputs'!$C$28+(VLOOKUP('Variable Inputs'!$C$27,'Probabilities &amp; Price Slide'!$P$33:$T$370,3,TRUE))), Z49=3, ('Variable Inputs'!$C$28+(VLOOKUP('Variable Inputs'!$C$27,'Probabilities &amp; Price Slide'!$P$33:$T$370,3,TRUE))), Z49=4, ('Variable Inputs'!$C$28+(VLOOKUP('Variable Inputs'!$C$27,'Probabilities &amp; Price Slide'!$P$33:$T$370,3,TRUE))), Z49=11, ('Variable Inputs'!$C$28+(VLOOKUP('Variable Inputs'!$C$27,'Probabilities &amp; Price Slide'!$P$33:$T$370,3,TRUE))), Z49=5, 'Variable Inputs'!$C$28, Z49=6, 'Variable Inputs'!$C$28, Z49=7, 'Variable Inputs'!$C$28, Z49=8, 'Variable Inputs'!$C$28, Z49=9, 'Variable Inputs'!$C$28, Z49=10, 'Variable Inputs'!$C$28)))-vc))))</f>
        <v xml:space="preserve"> </v>
      </c>
      <c r="AA52" s="105" t="str" cm="1">
        <f t="array" ref="AA52">IF(AA51=" "," ",(IF(Z50=on,-vc,((('Variable Inputs'!$C$27-(VLOOKUP(AA49, 'Probabilities &amp; Price Slide'!$B$20:$E$29,4, FALSE)))*(_xlfn.IFS(AA49=2, ('Variable Inputs'!$C$28+(VLOOKUP('Variable Inputs'!$C$27,'Probabilities &amp; Price Slide'!$P$33:$T$370,3,TRUE))), AA49=3, ('Variable Inputs'!$C$28+(VLOOKUP('Variable Inputs'!$C$27,'Probabilities &amp; Price Slide'!$P$33:$T$370,3,TRUE))), AA49=4, ('Variable Inputs'!$C$28+(VLOOKUP('Variable Inputs'!$C$27,'Probabilities &amp; Price Slide'!$P$33:$T$370,3,TRUE))), AA49=11, ('Variable Inputs'!$C$28+(VLOOKUP('Variable Inputs'!$C$27,'Probabilities &amp; Price Slide'!$P$33:$T$370,3,TRUE))), AA49=5, 'Variable Inputs'!$C$28, AA49=6, 'Variable Inputs'!$C$28, AA49=7, 'Variable Inputs'!$C$28, AA49=8, 'Variable Inputs'!$C$28, AA49=9, 'Variable Inputs'!$C$28, AA49=10, 'Variable Inputs'!$C$28)))-vc))))</f>
        <v xml:space="preserve"> </v>
      </c>
      <c r="AB52" s="105" t="str" cm="1">
        <f t="array" ref="AB52">IF(AB51=" "," ",(IF(AA50=on,-vc,((('Variable Inputs'!$C$27-(VLOOKUP(AB49, 'Probabilities &amp; Price Slide'!$B$20:$E$29,4, FALSE)))*(_xlfn.IFS(AB49=2, ('Variable Inputs'!$C$28+(VLOOKUP('Variable Inputs'!$C$27,'Probabilities &amp; Price Slide'!$P$33:$T$370,3,TRUE))), AB49=3, ('Variable Inputs'!$C$28+(VLOOKUP('Variable Inputs'!$C$27,'Probabilities &amp; Price Slide'!$P$33:$T$370,3,TRUE))), AB49=4, ('Variable Inputs'!$C$28+(VLOOKUP('Variable Inputs'!$C$27,'Probabilities &amp; Price Slide'!$P$33:$T$370,3,TRUE))), AB49=11, ('Variable Inputs'!$C$28+(VLOOKUP('Variable Inputs'!$C$27,'Probabilities &amp; Price Slide'!$P$33:$T$370,3,TRUE))), AB49=5, 'Variable Inputs'!$C$28, AB49=6, 'Variable Inputs'!$C$28, AB49=7, 'Variable Inputs'!$C$28, AB49=8, 'Variable Inputs'!$C$28, AB49=9, 'Variable Inputs'!$C$28, AB49=10, 'Variable Inputs'!$C$28)))-vc))))</f>
        <v xml:space="preserve"> </v>
      </c>
      <c r="AD52" s="13"/>
    </row>
    <row r="53" spans="1:30" x14ac:dyDescent="0.3">
      <c r="A53" s="103" t="s">
        <v>51</v>
      </c>
      <c r="B53" s="105" t="str">
        <f t="shared" ref="B53" si="34">IF(B51=" "," ", (IF(A50=on, H,(IF(B49=PC+1, S, " ")))))</f>
        <v xml:space="preserve"> </v>
      </c>
      <c r="C53" s="105" t="str">
        <f>IF(C51=" "," ", (IF(B50=on, -H,(IF(C49=PC+1, (IF(C49&gt;8,'Variable Inputs'!$C$36*('Variable Inputs'!$C$37+'Probabilities &amp; Price Slide'!$B$38), S)), " ")))))</f>
        <v xml:space="preserve"> </v>
      </c>
      <c r="D53" s="105" t="str">
        <f>IF(D51=" "," ", (IF(C50=on, -PurH,(IF(D49=PC+1, (IF(D49&gt;8,'Variable Inputs'!$C$36*('Variable Inputs'!$C$37+'Probabilities &amp; Price Slide'!$B$38), S)), " ")))))</f>
        <v xml:space="preserve"> </v>
      </c>
      <c r="E53" s="105">
        <f>IF(E51=" "," ", (IF(D50=on, -PurH,(IF(E49=PC+1, (IF(E49&gt;8,'Variable Inputs'!$C$36*('Variable Inputs'!$C$37+'Probabilities &amp; Price Slide'!$B$38), S)), " ")))))</f>
        <v>-2500</v>
      </c>
      <c r="F53" s="105" t="str">
        <f>IF(F51=" "," ", (IF(E50=on, -PurH,(IF(F49=PC+1, (IF(F49&gt;8,'Variable Inputs'!$C$36*('Variable Inputs'!$C$37+'Probabilities &amp; Price Slide'!$B$38), S)), " ")))))</f>
        <v xml:space="preserve"> </v>
      </c>
      <c r="G53" s="105" t="str">
        <f>IF(G51=" "," ", (IF(F50=on, -PurH,(IF(G49=PC+1, (IF(G49&gt;8,'Variable Inputs'!$C$36*('Variable Inputs'!$C$37+'Probabilities &amp; Price Slide'!$B$38), S)), " ")))))</f>
        <v xml:space="preserve"> </v>
      </c>
      <c r="H53" s="105" t="str">
        <f>IF(H51=" "," ", (IF(G50=on, -PurH,(IF(H49=PC+1, (IF(H49&gt;8,'Variable Inputs'!$C$36*('Variable Inputs'!$C$37+'Probabilities &amp; Price Slide'!$B$38), S)), " ")))))</f>
        <v xml:space="preserve"> </v>
      </c>
      <c r="I53" s="105" t="str">
        <f>IF(I51=" "," ", (IF(H50=on, -PurH,(IF(I49=PC+1, (IF(I49&gt;8,'Variable Inputs'!$C$36*('Variable Inputs'!$C$37+'Probabilities &amp; Price Slide'!$B$38), S)), " ")))))</f>
        <v xml:space="preserve"> </v>
      </c>
      <c r="J53" s="105" t="str">
        <f>IF(J51=" "," ", (IF(I50=on, -PurH,(IF(J49=PC+1, (IF(J49&gt;8,'Variable Inputs'!$C$36*('Variable Inputs'!$C$37+'Probabilities &amp; Price Slide'!$B$38), S)), " ")))))</f>
        <v xml:space="preserve"> </v>
      </c>
      <c r="K53" s="105" t="str">
        <f>IF(K51=" "," ", (IF(J50=on, -PurH,(IF(K49=PC+1, (IF(K49&gt;8,'Variable Inputs'!$C$36*('Variable Inputs'!$C$37+'Probabilities &amp; Price Slide'!$B$38), S)), " ")))))</f>
        <v xml:space="preserve"> </v>
      </c>
      <c r="L53" s="105" t="str">
        <f>IF(L51=" "," ", (IF(K50=on, -PurH,(IF(L49=PC+1, (IF(L49&gt;8,'Variable Inputs'!$C$36*('Variable Inputs'!$C$37+'Probabilities &amp; Price Slide'!$B$38), S)), " ")))))</f>
        <v xml:space="preserve"> </v>
      </c>
      <c r="M53" s="105" t="str">
        <f>IF(M51=" "," ", (IF(L50=on, -PurH,(IF(M49=PC+1, (IF(M49&gt;8,'Variable Inputs'!$C$36*('Variable Inputs'!$C$37+'Probabilities &amp; Price Slide'!$B$38), S)), " ")))))</f>
        <v xml:space="preserve"> </v>
      </c>
      <c r="N53" s="105">
        <f>IF(N51=" "," ", (IF(M50=on, -PurH,(IF(N49=PC+1, (IF(N49&gt;8,'Variable Inputs'!$C$36*('Variable Inputs'!$C$37+'Probabilities &amp; Price Slide'!$B$38), S)), " ")))))</f>
        <v>810</v>
      </c>
      <c r="O53" s="105" t="str">
        <f>IF(O51=" "," ", (IF(N50=on, -PurH,(IF(O49=PC+1, (IF(O49&gt;8,'Variable Inputs'!$C$36*('Variable Inputs'!$C$37+'Probabilities &amp; Price Slide'!$B$38), S)), " ")))))</f>
        <v xml:space="preserve"> </v>
      </c>
      <c r="P53" s="105" t="str">
        <f>IF(P51=" "," ", (IF(O50=on, -PurH,(IF(P49=PC+1, (IF(P49&gt;8,'Variable Inputs'!$C$36*('Variable Inputs'!$C$37+'Probabilities &amp; Price Slide'!$B$38), S)), " ")))))</f>
        <v xml:space="preserve"> </v>
      </c>
      <c r="Q53" s="105" t="str">
        <f>IF(Q51=" "," ", (IF(P50=on, -PurH,(IF(Q49=PC+1, (IF(Q49&gt;8,'Variable Inputs'!$C$36*('Variable Inputs'!$C$37+'Probabilities &amp; Price Slide'!$B$38), S)), " ")))))</f>
        <v xml:space="preserve"> </v>
      </c>
      <c r="R53" s="105" t="str">
        <f>IF(R51=" "," ", (IF(Q50=on, -PurH,(IF(R49=PC+1, (IF(R49&gt;8,'Variable Inputs'!$C$36*('Variable Inputs'!$C$37+'Probabilities &amp; Price Slide'!$B$38), S)), " ")))))</f>
        <v xml:space="preserve"> </v>
      </c>
      <c r="S53" s="105" t="str">
        <f>IF(S51=" "," ", (IF(R50=on, -PurH,(IF(S49=PC+1, (IF(S49&gt;8,'Variable Inputs'!$C$36*('Variable Inputs'!$C$37+'Probabilities &amp; Price Slide'!$B$38), S)), " ")))))</f>
        <v xml:space="preserve"> </v>
      </c>
      <c r="T53" s="105" t="str">
        <f>IF(T51=" "," ", (IF(S50=on, -PurH,(IF(T49=PC+1, (IF(T49&gt;8,'Variable Inputs'!$C$36*('Variable Inputs'!$C$37+'Probabilities &amp; Price Slide'!$B$38), S)), " ")))))</f>
        <v xml:space="preserve"> </v>
      </c>
      <c r="U53" s="105" t="str">
        <f>IF(U51=" "," ", (IF(T50=on, -PurH,(IF(U49=PC+1, (IF(U49&gt;8,'Variable Inputs'!$C$36*('Variable Inputs'!$C$37+'Probabilities &amp; Price Slide'!$B$38), S)), " ")))))</f>
        <v xml:space="preserve"> </v>
      </c>
      <c r="V53" s="105" t="str">
        <f>IF(V51=" "," ", (IF(U50=on, -PurH,(IF(V49=PC+1, (IF(V49&gt;8,'Variable Inputs'!$C$36*('Variable Inputs'!$C$37+'Probabilities &amp; Price Slide'!$B$38), S)), " ")))))</f>
        <v xml:space="preserve"> </v>
      </c>
      <c r="W53" s="105" t="str">
        <f>IF(W51=" "," ", (IF(V50=on, -PurH,(IF(W49=PC+1, (IF(W49&gt;8,'Variable Inputs'!$C$36*('Variable Inputs'!$C$37+'Probabilities &amp; Price Slide'!$B$38), S)), " ")))))</f>
        <v xml:space="preserve"> </v>
      </c>
      <c r="X53" s="105" t="str">
        <f>IF(X51=" "," ", (IF(W50=on, -PurH,(IF(X49=PC+1, (IF(X49&gt;8,'Variable Inputs'!$C$36*('Variable Inputs'!$C$37+'Probabilities &amp; Price Slide'!$B$38), S)), " ")))))</f>
        <v xml:space="preserve"> </v>
      </c>
      <c r="Y53" s="105" t="str">
        <f>IF(Y51=" "," ", (IF(X50=on, -PurH,(IF(Y49=PC+1, (IF(Y49&gt;8,'Variable Inputs'!$C$36*('Variable Inputs'!$C$37+'Probabilities &amp; Price Slide'!$B$38), S)), " ")))))</f>
        <v xml:space="preserve"> </v>
      </c>
      <c r="Z53" s="105" t="str">
        <f>IF(Z51=" "," ", (IF(Y50=on, -PurH,(IF(Z49=PC+1, (IF(Z49&gt;8,'Variable Inputs'!$C$36*('Variable Inputs'!$C$37+'Probabilities &amp; Price Slide'!$B$38), S)), " ")))))</f>
        <v xml:space="preserve"> </v>
      </c>
      <c r="AA53" s="105" t="str">
        <f>IF(AA51=" "," ", (IF(Z50=on, -PurH,(IF(AA49=PC+1, (IF(AA49&gt;8,'Variable Inputs'!$C$36*('Variable Inputs'!$C$37+'Probabilities &amp; Price Slide'!$B$38), S)), " ")))))</f>
        <v xml:space="preserve"> </v>
      </c>
      <c r="AB53" s="105" t="str">
        <f>IF(AB51=" "," ", (IF(AA50=on, -PurH,(IF(AB49=PC+1, (IF(AB49&gt;8,'Variable Inputs'!$C$36*('Variable Inputs'!$C$37+'Probabilities &amp; Price Slide'!$B$38), S)), " ")))))</f>
        <v xml:space="preserve"> </v>
      </c>
      <c r="AD53" s="13"/>
    </row>
    <row r="54" spans="1:30" ht="15" thickBot="1" x14ac:dyDescent="0.35">
      <c r="A54" s="103" t="s">
        <v>52</v>
      </c>
      <c r="C54" s="106"/>
      <c r="D54" s="106"/>
      <c r="E54" s="106">
        <f>IF(E51=" "," ", (SUM(E52:E53)))</f>
        <v>-2950</v>
      </c>
      <c r="F54" s="106">
        <f t="shared" ref="F54:AB54" si="35">IF(F51=" "," ", (SUM(F52:F53)))</f>
        <v>525.61637972684446</v>
      </c>
      <c r="G54" s="106">
        <f t="shared" si="35"/>
        <v>561.52851487382088</v>
      </c>
      <c r="H54" s="106">
        <f t="shared" si="35"/>
        <v>650</v>
      </c>
      <c r="I54" s="106">
        <f t="shared" si="35"/>
        <v>650</v>
      </c>
      <c r="J54" s="106">
        <f t="shared" si="35"/>
        <v>650</v>
      </c>
      <c r="K54" s="106">
        <f t="shared" si="35"/>
        <v>650</v>
      </c>
      <c r="L54" s="106">
        <f t="shared" si="35"/>
        <v>650</v>
      </c>
      <c r="M54" s="106">
        <f t="shared" si="35"/>
        <v>650</v>
      </c>
      <c r="N54" s="106">
        <f t="shared" si="35"/>
        <v>1371.5285148738208</v>
      </c>
      <c r="O54" s="106" t="str">
        <f t="shared" si="35"/>
        <v xml:space="preserve"> </v>
      </c>
      <c r="P54" s="106" t="str">
        <f t="shared" si="35"/>
        <v xml:space="preserve"> </v>
      </c>
      <c r="Q54" s="106" t="str">
        <f t="shared" si="35"/>
        <v xml:space="preserve"> </v>
      </c>
      <c r="R54" s="106" t="str">
        <f t="shared" si="35"/>
        <v xml:space="preserve"> </v>
      </c>
      <c r="S54" s="106" t="str">
        <f t="shared" si="35"/>
        <v xml:space="preserve"> </v>
      </c>
      <c r="T54" s="106" t="str">
        <f t="shared" si="35"/>
        <v xml:space="preserve"> </v>
      </c>
      <c r="U54" s="106" t="str">
        <f t="shared" si="35"/>
        <v xml:space="preserve"> </v>
      </c>
      <c r="V54" s="106" t="str">
        <f t="shared" si="35"/>
        <v xml:space="preserve"> </v>
      </c>
      <c r="W54" s="106" t="str">
        <f t="shared" si="35"/>
        <v xml:space="preserve"> </v>
      </c>
      <c r="X54" s="106" t="str">
        <f t="shared" si="35"/>
        <v xml:space="preserve"> </v>
      </c>
      <c r="Y54" s="106" t="str">
        <f t="shared" si="35"/>
        <v xml:space="preserve"> </v>
      </c>
      <c r="Z54" s="106" t="str">
        <f t="shared" si="35"/>
        <v xml:space="preserve"> </v>
      </c>
      <c r="AA54" s="106" t="str">
        <f t="shared" si="35"/>
        <v xml:space="preserve"> </v>
      </c>
      <c r="AB54" s="106" t="str">
        <f t="shared" si="35"/>
        <v xml:space="preserve"> </v>
      </c>
      <c r="AD54" s="13"/>
    </row>
    <row r="55" spans="1:30" ht="15" thickBot="1" x14ac:dyDescent="0.35">
      <c r="A55" s="101" t="s">
        <v>46</v>
      </c>
      <c r="B55" s="97"/>
      <c r="C55" s="107"/>
      <c r="D55" s="107"/>
      <c r="E55" s="107">
        <f>IF(E51=" "," ", (E54*E51))</f>
        <v>-2950</v>
      </c>
      <c r="F55" s="107">
        <f t="shared" ref="F55:AB55" si="36">IF(F51=" "," ", (F54*F51))</f>
        <v>500.58702831128039</v>
      </c>
      <c r="G55" s="107">
        <f t="shared" si="36"/>
        <v>509.32291598532504</v>
      </c>
      <c r="H55" s="107">
        <f t="shared" si="36"/>
        <v>561.49443904545944</v>
      </c>
      <c r="I55" s="107">
        <f t="shared" si="36"/>
        <v>534.75660861472329</v>
      </c>
      <c r="J55" s="107">
        <f t="shared" si="36"/>
        <v>509.2920082044983</v>
      </c>
      <c r="K55" s="107">
        <f t="shared" si="36"/>
        <v>485.04000781380796</v>
      </c>
      <c r="L55" s="107">
        <f t="shared" si="36"/>
        <v>461.94286458457896</v>
      </c>
      <c r="M55" s="107">
        <f t="shared" si="36"/>
        <v>439.94558531864669</v>
      </c>
      <c r="N55" s="107">
        <f t="shared" si="36"/>
        <v>884.09950953461862</v>
      </c>
      <c r="O55" s="107" t="str">
        <f t="shared" si="36"/>
        <v xml:space="preserve"> </v>
      </c>
      <c r="P55" s="107" t="str">
        <f t="shared" si="36"/>
        <v xml:space="preserve"> </v>
      </c>
      <c r="Q55" s="107" t="str">
        <f t="shared" si="36"/>
        <v xml:space="preserve"> </v>
      </c>
      <c r="R55" s="107" t="str">
        <f t="shared" si="36"/>
        <v xml:space="preserve"> </v>
      </c>
      <c r="S55" s="107" t="str">
        <f t="shared" si="36"/>
        <v xml:space="preserve"> </v>
      </c>
      <c r="T55" s="107" t="str">
        <f t="shared" si="36"/>
        <v xml:space="preserve"> </v>
      </c>
      <c r="U55" s="107" t="str">
        <f t="shared" si="36"/>
        <v xml:space="preserve"> </v>
      </c>
      <c r="V55" s="107" t="str">
        <f t="shared" si="36"/>
        <v xml:space="preserve"> </v>
      </c>
      <c r="W55" s="107" t="str">
        <f t="shared" si="36"/>
        <v xml:space="preserve"> </v>
      </c>
      <c r="X55" s="107" t="str">
        <f t="shared" si="36"/>
        <v xml:space="preserve"> </v>
      </c>
      <c r="Y55" s="107" t="str">
        <f t="shared" si="36"/>
        <v xml:space="preserve"> </v>
      </c>
      <c r="Z55" s="107" t="str">
        <f t="shared" si="36"/>
        <v xml:space="preserve"> </v>
      </c>
      <c r="AA55" s="107" t="str">
        <f t="shared" si="36"/>
        <v xml:space="preserve"> </v>
      </c>
      <c r="AB55" s="107" t="str">
        <f t="shared" si="36"/>
        <v xml:space="preserve"> </v>
      </c>
      <c r="AC55" s="9">
        <f>SUM(C55:AB55)</f>
        <v>1936.4809674129385</v>
      </c>
      <c r="AD55" s="91" t="s">
        <v>62</v>
      </c>
    </row>
    <row r="56" spans="1:30" x14ac:dyDescent="0.3">
      <c r="A56" s="103"/>
      <c r="B56" s="103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S56" s="31"/>
      <c r="T56" s="31"/>
      <c r="U56" s="31"/>
      <c r="V56" s="31"/>
      <c r="W56" s="31"/>
      <c r="X56" s="31"/>
      <c r="Y56" s="31"/>
      <c r="Z56" s="31"/>
      <c r="AB56" s="31"/>
      <c r="AC56" s="31"/>
      <c r="AD56" s="13"/>
    </row>
    <row r="57" spans="1:30" s="68" customFormat="1" x14ac:dyDescent="0.3">
      <c r="A57" s="69" t="s">
        <v>54</v>
      </c>
      <c r="B57" s="109"/>
      <c r="C57" s="110"/>
      <c r="H57" s="10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</row>
    <row r="58" spans="1:30" s="13" customFormat="1" x14ac:dyDescent="0.3">
      <c r="A58" s="111" t="s">
        <v>50</v>
      </c>
      <c r="B58" s="111"/>
      <c r="C58" s="117">
        <f>C59+1</f>
        <v>1</v>
      </c>
      <c r="D58" s="117">
        <f t="shared" ref="D58" si="37">D59+1</f>
        <v>2</v>
      </c>
      <c r="E58" s="117">
        <f t="shared" ref="E58:AB58" si="38">IF(rn=E59, 2, D58+1)</f>
        <v>2</v>
      </c>
      <c r="F58" s="117">
        <f t="shared" si="38"/>
        <v>3</v>
      </c>
      <c r="G58" s="117">
        <f t="shared" si="38"/>
        <v>4</v>
      </c>
      <c r="H58" s="117">
        <f t="shared" si="38"/>
        <v>5</v>
      </c>
      <c r="I58" s="117">
        <f t="shared" si="38"/>
        <v>6</v>
      </c>
      <c r="J58" s="117">
        <f t="shared" si="38"/>
        <v>7</v>
      </c>
      <c r="K58" s="117">
        <f t="shared" si="38"/>
        <v>8</v>
      </c>
      <c r="L58" s="117">
        <f t="shared" si="38"/>
        <v>9</v>
      </c>
      <c r="M58" s="117">
        <f t="shared" si="38"/>
        <v>10</v>
      </c>
      <c r="N58" s="117">
        <f t="shared" si="38"/>
        <v>11</v>
      </c>
      <c r="O58" s="117">
        <f t="shared" si="38"/>
        <v>12</v>
      </c>
      <c r="P58" s="117">
        <f t="shared" si="38"/>
        <v>13</v>
      </c>
      <c r="Q58" s="117">
        <f t="shared" si="38"/>
        <v>14</v>
      </c>
      <c r="R58" s="117">
        <f t="shared" si="38"/>
        <v>15</v>
      </c>
      <c r="S58" s="117">
        <f t="shared" si="38"/>
        <v>16</v>
      </c>
      <c r="T58" s="117">
        <f t="shared" si="38"/>
        <v>17</v>
      </c>
      <c r="U58" s="117">
        <f t="shared" si="38"/>
        <v>18</v>
      </c>
      <c r="V58" s="117">
        <f t="shared" si="38"/>
        <v>19</v>
      </c>
      <c r="W58" s="117">
        <f t="shared" si="38"/>
        <v>20</v>
      </c>
      <c r="X58" s="117">
        <f t="shared" si="38"/>
        <v>21</v>
      </c>
      <c r="Y58" s="117">
        <f t="shared" si="38"/>
        <v>22</v>
      </c>
      <c r="Z58" s="117">
        <f t="shared" si="38"/>
        <v>23</v>
      </c>
      <c r="AA58" s="117">
        <f t="shared" si="38"/>
        <v>24</v>
      </c>
      <c r="AB58" s="117">
        <f t="shared" si="38"/>
        <v>25</v>
      </c>
      <c r="AC58" s="58"/>
    </row>
    <row r="59" spans="1:30" s="13" customFormat="1" x14ac:dyDescent="0.3">
      <c r="A59" s="85" t="s">
        <v>43</v>
      </c>
      <c r="B59" s="85"/>
      <c r="C59" s="114">
        <v>0</v>
      </c>
      <c r="D59" s="114">
        <f t="shared" ref="D59:AB59" si="39">IF(C59=(PC+rn)," ",(IF(C59=" "," ",C59+1)))</f>
        <v>1</v>
      </c>
      <c r="E59" s="114">
        <f t="shared" si="39"/>
        <v>2</v>
      </c>
      <c r="F59" s="114">
        <f t="shared" si="39"/>
        <v>3</v>
      </c>
      <c r="G59" s="114">
        <f t="shared" si="39"/>
        <v>4</v>
      </c>
      <c r="H59" s="114">
        <f t="shared" si="39"/>
        <v>5</v>
      </c>
      <c r="I59" s="114">
        <f t="shared" si="39"/>
        <v>6</v>
      </c>
      <c r="J59" s="114">
        <f t="shared" si="39"/>
        <v>7</v>
      </c>
      <c r="K59" s="114">
        <f t="shared" si="39"/>
        <v>8</v>
      </c>
      <c r="L59" s="114">
        <f t="shared" si="39"/>
        <v>9</v>
      </c>
      <c r="M59" s="114">
        <f t="shared" si="39"/>
        <v>10</v>
      </c>
      <c r="N59" s="114">
        <f t="shared" si="39"/>
        <v>11</v>
      </c>
      <c r="O59" s="114">
        <f t="shared" si="39"/>
        <v>12</v>
      </c>
      <c r="P59" s="114" t="str">
        <f t="shared" si="39"/>
        <v xml:space="preserve"> </v>
      </c>
      <c r="Q59" s="114" t="str">
        <f t="shared" si="39"/>
        <v xml:space="preserve"> </v>
      </c>
      <c r="R59" s="114" t="str">
        <f t="shared" si="39"/>
        <v xml:space="preserve"> </v>
      </c>
      <c r="S59" s="114" t="str">
        <f t="shared" si="39"/>
        <v xml:space="preserve"> </v>
      </c>
      <c r="T59" s="114" t="str">
        <f t="shared" si="39"/>
        <v xml:space="preserve"> </v>
      </c>
      <c r="U59" s="114" t="str">
        <f t="shared" si="39"/>
        <v xml:space="preserve"> </v>
      </c>
      <c r="V59" s="114" t="str">
        <f t="shared" si="39"/>
        <v xml:space="preserve"> </v>
      </c>
      <c r="W59" s="114" t="str">
        <f t="shared" si="39"/>
        <v xml:space="preserve"> </v>
      </c>
      <c r="X59" s="114" t="str">
        <f t="shared" si="39"/>
        <v xml:space="preserve"> </v>
      </c>
      <c r="Y59" s="114" t="str">
        <f t="shared" si="39"/>
        <v xml:space="preserve"> </v>
      </c>
      <c r="Z59" s="114" t="str">
        <f t="shared" si="39"/>
        <v xml:space="preserve"> </v>
      </c>
      <c r="AA59" s="114" t="str">
        <f t="shared" si="39"/>
        <v xml:space="preserve"> </v>
      </c>
      <c r="AB59" s="114" t="str">
        <f t="shared" si="39"/>
        <v xml:space="preserve"> </v>
      </c>
      <c r="AC59" s="4" t="str">
        <f>IF(AB59=(PC+3)," ",(IF(AB59=" "," ",AB59+1)))</f>
        <v xml:space="preserve"> </v>
      </c>
    </row>
    <row r="60" spans="1:30" s="13" customFormat="1" x14ac:dyDescent="0.3">
      <c r="A60" s="85" t="s">
        <v>44</v>
      </c>
      <c r="B60" s="85"/>
      <c r="C60" s="86"/>
      <c r="D60" s="86"/>
      <c r="E60" s="86">
        <f t="shared" ref="E60:AB60" si="40">IF(E59=" ", " ", (IF(E59&gt;=rn, 1/(1+i)^(E59-rn)," ")))</f>
        <v>1</v>
      </c>
      <c r="F60" s="86">
        <f t="shared" si="40"/>
        <v>0.95238095238095233</v>
      </c>
      <c r="G60" s="86">
        <f t="shared" si="40"/>
        <v>0.90702947845804982</v>
      </c>
      <c r="H60" s="86">
        <f t="shared" si="40"/>
        <v>0.86383759853147601</v>
      </c>
      <c r="I60" s="86">
        <f t="shared" si="40"/>
        <v>0.82270247479188197</v>
      </c>
      <c r="J60" s="86">
        <f t="shared" si="40"/>
        <v>0.78352616646845896</v>
      </c>
      <c r="K60" s="86">
        <f t="shared" si="40"/>
        <v>0.74621539663662761</v>
      </c>
      <c r="L60" s="86">
        <f t="shared" si="40"/>
        <v>0.71068133013012147</v>
      </c>
      <c r="M60" s="86">
        <f t="shared" si="40"/>
        <v>0.67683936202868722</v>
      </c>
      <c r="N60" s="86">
        <f t="shared" si="40"/>
        <v>0.64460891621779726</v>
      </c>
      <c r="O60" s="86">
        <f t="shared" si="40"/>
        <v>0.61391325354075932</v>
      </c>
      <c r="P60" s="86" t="str">
        <f t="shared" si="40"/>
        <v xml:space="preserve"> </v>
      </c>
      <c r="Q60" s="86" t="str">
        <f t="shared" si="40"/>
        <v xml:space="preserve"> </v>
      </c>
      <c r="R60" s="86" t="str">
        <f t="shared" si="40"/>
        <v xml:space="preserve"> </v>
      </c>
      <c r="S60" s="86" t="str">
        <f t="shared" si="40"/>
        <v xml:space="preserve"> </v>
      </c>
      <c r="T60" s="86" t="str">
        <f t="shared" si="40"/>
        <v xml:space="preserve"> </v>
      </c>
      <c r="U60" s="86" t="str">
        <f t="shared" si="40"/>
        <v xml:space="preserve"> </v>
      </c>
      <c r="V60" s="86" t="str">
        <f t="shared" si="40"/>
        <v xml:space="preserve"> </v>
      </c>
      <c r="W60" s="86" t="str">
        <f t="shared" si="40"/>
        <v xml:space="preserve"> </v>
      </c>
      <c r="X60" s="86" t="str">
        <f t="shared" si="40"/>
        <v xml:space="preserve"> </v>
      </c>
      <c r="Y60" s="86" t="str">
        <f t="shared" si="40"/>
        <v xml:space="preserve"> </v>
      </c>
      <c r="Z60" s="86" t="str">
        <f t="shared" si="40"/>
        <v xml:space="preserve"> </v>
      </c>
      <c r="AA60" s="86" t="str">
        <f t="shared" si="40"/>
        <v xml:space="preserve"> </v>
      </c>
      <c r="AB60" s="86" t="str">
        <f t="shared" si="40"/>
        <v xml:space="preserve"> </v>
      </c>
      <c r="AC60" s="58"/>
    </row>
    <row r="61" spans="1:30" s="13" customFormat="1" x14ac:dyDescent="0.3">
      <c r="A61" s="87" t="s">
        <v>27</v>
      </c>
      <c r="B61" s="87"/>
      <c r="C61" s="88" t="str">
        <f t="shared" ref="C61:D61" si="41">" "</f>
        <v xml:space="preserve"> </v>
      </c>
      <c r="D61" s="88" t="str">
        <f t="shared" si="41"/>
        <v xml:space="preserve"> </v>
      </c>
      <c r="E61" s="88" t="str">
        <f>" "</f>
        <v xml:space="preserve"> </v>
      </c>
      <c r="F61" s="88" t="str">
        <f t="shared" ref="F61:AB61" si="42">" "</f>
        <v xml:space="preserve"> </v>
      </c>
      <c r="G61" s="88" t="str">
        <f t="shared" si="42"/>
        <v xml:space="preserve"> </v>
      </c>
      <c r="H61" s="88" t="str">
        <f t="shared" si="42"/>
        <v xml:space="preserve"> </v>
      </c>
      <c r="I61" s="88" t="str">
        <f t="shared" si="42"/>
        <v xml:space="preserve"> </v>
      </c>
      <c r="J61" s="88" t="str">
        <f t="shared" si="42"/>
        <v xml:space="preserve"> </v>
      </c>
      <c r="K61" s="88" t="str">
        <f t="shared" si="42"/>
        <v xml:space="preserve"> </v>
      </c>
      <c r="L61" s="88" t="str">
        <f t="shared" si="42"/>
        <v xml:space="preserve"> </v>
      </c>
      <c r="M61" s="88" t="str">
        <f t="shared" si="42"/>
        <v xml:space="preserve"> </v>
      </c>
      <c r="N61" s="88" t="str">
        <f t="shared" si="42"/>
        <v xml:space="preserve"> </v>
      </c>
      <c r="O61" s="88" t="str">
        <f t="shared" si="42"/>
        <v xml:space="preserve"> </v>
      </c>
      <c r="P61" s="88" t="str">
        <f t="shared" si="42"/>
        <v xml:space="preserve"> </v>
      </c>
      <c r="Q61" s="88" t="str">
        <f t="shared" si="42"/>
        <v xml:space="preserve"> </v>
      </c>
      <c r="R61" s="88" t="str">
        <f t="shared" si="42"/>
        <v xml:space="preserve"> </v>
      </c>
      <c r="S61" s="88" t="str">
        <f t="shared" si="42"/>
        <v xml:space="preserve"> </v>
      </c>
      <c r="T61" s="88" t="str">
        <f t="shared" si="42"/>
        <v xml:space="preserve"> </v>
      </c>
      <c r="U61" s="88" t="str">
        <f t="shared" si="42"/>
        <v xml:space="preserve"> </v>
      </c>
      <c r="V61" s="88" t="str">
        <f t="shared" si="42"/>
        <v xml:space="preserve"> </v>
      </c>
      <c r="W61" s="88" t="str">
        <f t="shared" si="42"/>
        <v xml:space="preserve"> </v>
      </c>
      <c r="X61" s="88" t="str">
        <f t="shared" si="42"/>
        <v xml:space="preserve"> </v>
      </c>
      <c r="Y61" s="88" t="str">
        <f t="shared" si="42"/>
        <v xml:space="preserve"> </v>
      </c>
      <c r="Z61" s="88" t="str">
        <f t="shared" si="42"/>
        <v xml:space="preserve"> </v>
      </c>
      <c r="AA61" s="88" t="str">
        <f t="shared" si="42"/>
        <v xml:space="preserve"> </v>
      </c>
      <c r="AB61" s="88" t="str">
        <f t="shared" si="42"/>
        <v xml:space="preserve"> </v>
      </c>
    </row>
    <row r="62" spans="1:30" s="13" customFormat="1" x14ac:dyDescent="0.3">
      <c r="A62" s="87" t="s">
        <v>51</v>
      </c>
      <c r="B62" s="88" t="str">
        <f t="shared" ref="B62" si="43">IF(B60=" "," ", (IF(A59=on, H,(IF(B58=PC+1, S, " ")))))</f>
        <v xml:space="preserve"> </v>
      </c>
      <c r="C62" s="88" t="str">
        <f t="shared" ref="C62" si="44">IF(C60=" "," ", (IF(B59=on, -H,(IF(C58=PC+1, S, " ")))))</f>
        <v xml:space="preserve"> </v>
      </c>
      <c r="D62" s="88" t="str">
        <f t="shared" ref="D62:AB62" si="45">IF(D60=" "," ", (IF(C59=on, -PurH+S," ")))</f>
        <v xml:space="preserve"> </v>
      </c>
      <c r="E62" s="88">
        <f t="shared" si="45"/>
        <v>-1420</v>
      </c>
      <c r="F62" s="88" t="str">
        <f t="shared" si="45"/>
        <v xml:space="preserve"> </v>
      </c>
      <c r="G62" s="88" t="str">
        <f t="shared" si="45"/>
        <v xml:space="preserve"> </v>
      </c>
      <c r="H62" s="88" t="str">
        <f t="shared" si="45"/>
        <v xml:space="preserve"> </v>
      </c>
      <c r="I62" s="88" t="str">
        <f t="shared" si="45"/>
        <v xml:space="preserve"> </v>
      </c>
      <c r="J62" s="88" t="str">
        <f t="shared" si="45"/>
        <v xml:space="preserve"> </v>
      </c>
      <c r="K62" s="88" t="str">
        <f t="shared" si="45"/>
        <v xml:space="preserve"> </v>
      </c>
      <c r="L62" s="88" t="str">
        <f t="shared" si="45"/>
        <v xml:space="preserve"> </v>
      </c>
      <c r="M62" s="88" t="str">
        <f t="shared" si="45"/>
        <v xml:space="preserve"> </v>
      </c>
      <c r="N62" s="88" t="str">
        <f t="shared" si="45"/>
        <v xml:space="preserve"> </v>
      </c>
      <c r="O62" s="88" t="str">
        <f t="shared" si="45"/>
        <v xml:space="preserve"> </v>
      </c>
      <c r="P62" s="88" t="str">
        <f t="shared" si="45"/>
        <v xml:space="preserve"> </v>
      </c>
      <c r="Q62" s="88" t="str">
        <f t="shared" si="45"/>
        <v xml:space="preserve"> </v>
      </c>
      <c r="R62" s="88" t="str">
        <f t="shared" si="45"/>
        <v xml:space="preserve"> </v>
      </c>
      <c r="S62" s="88" t="str">
        <f t="shared" si="45"/>
        <v xml:space="preserve"> </v>
      </c>
      <c r="T62" s="88" t="str">
        <f t="shared" si="45"/>
        <v xml:space="preserve"> </v>
      </c>
      <c r="U62" s="88" t="str">
        <f t="shared" si="45"/>
        <v xml:space="preserve"> </v>
      </c>
      <c r="V62" s="88" t="str">
        <f t="shared" si="45"/>
        <v xml:space="preserve"> </v>
      </c>
      <c r="W62" s="88" t="str">
        <f t="shared" si="45"/>
        <v xml:space="preserve"> </v>
      </c>
      <c r="X62" s="88" t="str">
        <f t="shared" si="45"/>
        <v xml:space="preserve"> </v>
      </c>
      <c r="Y62" s="88" t="str">
        <f t="shared" si="45"/>
        <v xml:space="preserve"> </v>
      </c>
      <c r="Z62" s="88" t="str">
        <f t="shared" si="45"/>
        <v xml:space="preserve"> </v>
      </c>
      <c r="AA62" s="88" t="str">
        <f t="shared" si="45"/>
        <v xml:space="preserve"> </v>
      </c>
      <c r="AB62" s="88" t="str">
        <f t="shared" si="45"/>
        <v xml:space="preserve"> </v>
      </c>
    </row>
    <row r="63" spans="1:30" s="13" customFormat="1" ht="15" thickBot="1" x14ac:dyDescent="0.35">
      <c r="A63" s="87" t="s">
        <v>52</v>
      </c>
      <c r="C63" s="89"/>
      <c r="D63" s="89"/>
      <c r="E63" s="89">
        <f>IF(E60=" "," ", (SUM(E61:E62)))</f>
        <v>-1420</v>
      </c>
      <c r="F63" s="89">
        <f t="shared" ref="F63:AB63" si="46">IF(F60=" "," ", (SUM(F61:F62)))</f>
        <v>0</v>
      </c>
      <c r="G63" s="89">
        <f t="shared" si="46"/>
        <v>0</v>
      </c>
      <c r="H63" s="89">
        <f t="shared" si="46"/>
        <v>0</v>
      </c>
      <c r="I63" s="89">
        <f t="shared" si="46"/>
        <v>0</v>
      </c>
      <c r="J63" s="89">
        <f t="shared" si="46"/>
        <v>0</v>
      </c>
      <c r="K63" s="89">
        <f t="shared" si="46"/>
        <v>0</v>
      </c>
      <c r="L63" s="89">
        <f t="shared" si="46"/>
        <v>0</v>
      </c>
      <c r="M63" s="89">
        <f t="shared" si="46"/>
        <v>0</v>
      </c>
      <c r="N63" s="89">
        <f t="shared" si="46"/>
        <v>0</v>
      </c>
      <c r="O63" s="89">
        <f t="shared" si="46"/>
        <v>0</v>
      </c>
      <c r="P63" s="89" t="str">
        <f t="shared" si="46"/>
        <v xml:space="preserve"> </v>
      </c>
      <c r="Q63" s="89" t="str">
        <f t="shared" si="46"/>
        <v xml:space="preserve"> </v>
      </c>
      <c r="R63" s="89" t="str">
        <f t="shared" si="46"/>
        <v xml:space="preserve"> </v>
      </c>
      <c r="S63" s="89" t="str">
        <f t="shared" si="46"/>
        <v xml:space="preserve"> </v>
      </c>
      <c r="T63" s="89" t="str">
        <f t="shared" si="46"/>
        <v xml:space="preserve"> </v>
      </c>
      <c r="U63" s="89" t="str">
        <f t="shared" si="46"/>
        <v xml:space="preserve"> </v>
      </c>
      <c r="V63" s="89" t="str">
        <f t="shared" si="46"/>
        <v xml:space="preserve"> </v>
      </c>
      <c r="W63" s="89" t="str">
        <f t="shared" si="46"/>
        <v xml:space="preserve"> </v>
      </c>
      <c r="X63" s="89" t="str">
        <f t="shared" si="46"/>
        <v xml:space="preserve"> </v>
      </c>
      <c r="Y63" s="89" t="str">
        <f t="shared" si="46"/>
        <v xml:space="preserve"> </v>
      </c>
      <c r="Z63" s="89" t="str">
        <f t="shared" si="46"/>
        <v xml:space="preserve"> </v>
      </c>
      <c r="AA63" s="89" t="str">
        <f t="shared" si="46"/>
        <v xml:space="preserve"> </v>
      </c>
      <c r="AB63" s="89" t="str">
        <f t="shared" si="46"/>
        <v xml:space="preserve"> </v>
      </c>
    </row>
    <row r="64" spans="1:30" s="13" customFormat="1" ht="15" thickBot="1" x14ac:dyDescent="0.35">
      <c r="A64" s="85" t="s">
        <v>46</v>
      </c>
      <c r="B64" s="68"/>
      <c r="C64" s="90"/>
      <c r="D64" s="90"/>
      <c r="E64" s="90">
        <f>IF(E60=" "," ", (E63*E60))</f>
        <v>-1420</v>
      </c>
      <c r="F64" s="90">
        <f t="shared" ref="F64:AB64" si="47">IF(F60=" "," ", (F63*F60))</f>
        <v>0</v>
      </c>
      <c r="G64" s="90">
        <f t="shared" si="47"/>
        <v>0</v>
      </c>
      <c r="H64" s="90">
        <f t="shared" si="47"/>
        <v>0</v>
      </c>
      <c r="I64" s="90">
        <f t="shared" si="47"/>
        <v>0</v>
      </c>
      <c r="J64" s="90">
        <f t="shared" si="47"/>
        <v>0</v>
      </c>
      <c r="K64" s="90">
        <f t="shared" si="47"/>
        <v>0</v>
      </c>
      <c r="L64" s="90">
        <f t="shared" si="47"/>
        <v>0</v>
      </c>
      <c r="M64" s="90">
        <f t="shared" si="47"/>
        <v>0</v>
      </c>
      <c r="N64" s="90">
        <f t="shared" si="47"/>
        <v>0</v>
      </c>
      <c r="O64" s="90">
        <f t="shared" si="47"/>
        <v>0</v>
      </c>
      <c r="P64" s="90" t="str">
        <f t="shared" si="47"/>
        <v xml:space="preserve"> </v>
      </c>
      <c r="Q64" s="90" t="str">
        <f t="shared" si="47"/>
        <v xml:space="preserve"> </v>
      </c>
      <c r="R64" s="90" t="str">
        <f t="shared" si="47"/>
        <v xml:space="preserve"> </v>
      </c>
      <c r="S64" s="90" t="str">
        <f t="shared" si="47"/>
        <v xml:space="preserve"> </v>
      </c>
      <c r="T64" s="90" t="str">
        <f t="shared" si="47"/>
        <v xml:space="preserve"> </v>
      </c>
      <c r="U64" s="90" t="str">
        <f t="shared" si="47"/>
        <v xml:space="preserve"> </v>
      </c>
      <c r="V64" s="90" t="str">
        <f t="shared" si="47"/>
        <v xml:space="preserve"> </v>
      </c>
      <c r="W64" s="90" t="str">
        <f t="shared" si="47"/>
        <v xml:space="preserve"> </v>
      </c>
      <c r="X64" s="90" t="str">
        <f t="shared" si="47"/>
        <v xml:space="preserve"> </v>
      </c>
      <c r="Y64" s="90" t="str">
        <f t="shared" si="47"/>
        <v xml:space="preserve"> </v>
      </c>
      <c r="Z64" s="90" t="str">
        <f t="shared" si="47"/>
        <v xml:space="preserve"> </v>
      </c>
      <c r="AA64" s="90" t="str">
        <f t="shared" si="47"/>
        <v xml:space="preserve"> </v>
      </c>
      <c r="AB64" s="90" t="str">
        <f t="shared" si="47"/>
        <v xml:space="preserve"> </v>
      </c>
      <c r="AC64" s="2">
        <f>SUM(C64:AB64)</f>
        <v>-1420</v>
      </c>
      <c r="AD64" s="91" t="s">
        <v>63</v>
      </c>
    </row>
    <row r="65" spans="1:30" s="13" customFormat="1" x14ac:dyDescent="0.3">
      <c r="A65" s="87"/>
      <c r="B65" s="87"/>
      <c r="C65" s="112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1:30" s="68" customFormat="1" x14ac:dyDescent="0.3">
      <c r="A66" s="69" t="s">
        <v>55</v>
      </c>
      <c r="B66" s="109"/>
      <c r="C66" s="110"/>
      <c r="H66" s="10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</row>
    <row r="67" spans="1:30" s="13" customFormat="1" x14ac:dyDescent="0.3">
      <c r="A67" s="111" t="s">
        <v>50</v>
      </c>
      <c r="B67" s="111"/>
      <c r="C67" s="117">
        <f>C68+1</f>
        <v>1</v>
      </c>
      <c r="D67" s="117">
        <f t="shared" ref="D67" si="48">D68+1</f>
        <v>2</v>
      </c>
      <c r="E67" s="117">
        <f t="shared" ref="E67:AB67" si="49">IF(rn=E68, 2, D67+1)</f>
        <v>2</v>
      </c>
      <c r="F67" s="117">
        <f t="shared" si="49"/>
        <v>3</v>
      </c>
      <c r="G67" s="117">
        <f t="shared" si="49"/>
        <v>4</v>
      </c>
      <c r="H67" s="117">
        <f t="shared" si="49"/>
        <v>5</v>
      </c>
      <c r="I67" s="117">
        <f t="shared" si="49"/>
        <v>6</v>
      </c>
      <c r="J67" s="117">
        <f t="shared" si="49"/>
        <v>7</v>
      </c>
      <c r="K67" s="117">
        <f t="shared" si="49"/>
        <v>8</v>
      </c>
      <c r="L67" s="117">
        <f t="shared" si="49"/>
        <v>9</v>
      </c>
      <c r="M67" s="117">
        <f t="shared" si="49"/>
        <v>10</v>
      </c>
      <c r="N67" s="117">
        <f t="shared" si="49"/>
        <v>11</v>
      </c>
      <c r="O67" s="117">
        <f t="shared" si="49"/>
        <v>12</v>
      </c>
      <c r="P67" s="117">
        <f t="shared" si="49"/>
        <v>13</v>
      </c>
      <c r="Q67" s="117">
        <f t="shared" si="49"/>
        <v>14</v>
      </c>
      <c r="R67" s="117">
        <f t="shared" si="49"/>
        <v>15</v>
      </c>
      <c r="S67" s="117">
        <f t="shared" si="49"/>
        <v>16</v>
      </c>
      <c r="T67" s="117">
        <f t="shared" si="49"/>
        <v>17</v>
      </c>
      <c r="U67" s="117">
        <f t="shared" si="49"/>
        <v>18</v>
      </c>
      <c r="V67" s="117">
        <f t="shared" si="49"/>
        <v>19</v>
      </c>
      <c r="W67" s="117">
        <f t="shared" si="49"/>
        <v>20</v>
      </c>
      <c r="X67" s="117">
        <f t="shared" si="49"/>
        <v>21</v>
      </c>
      <c r="Y67" s="117">
        <f t="shared" si="49"/>
        <v>22</v>
      </c>
      <c r="Z67" s="117">
        <f t="shared" si="49"/>
        <v>23</v>
      </c>
      <c r="AA67" s="117">
        <f t="shared" si="49"/>
        <v>24</v>
      </c>
      <c r="AB67" s="117">
        <f t="shared" si="49"/>
        <v>25</v>
      </c>
      <c r="AC67" s="58"/>
    </row>
    <row r="68" spans="1:30" s="13" customFormat="1" x14ac:dyDescent="0.3">
      <c r="A68" s="85" t="s">
        <v>43</v>
      </c>
      <c r="B68" s="85"/>
      <c r="C68" s="114">
        <v>0</v>
      </c>
      <c r="D68" s="114">
        <f t="shared" ref="D68:AB68" si="50">IF(C68=(PC+rn)," ",(IF(C68=" "," ",C68+1)))</f>
        <v>1</v>
      </c>
      <c r="E68" s="114">
        <f t="shared" si="50"/>
        <v>2</v>
      </c>
      <c r="F68" s="114">
        <f t="shared" si="50"/>
        <v>3</v>
      </c>
      <c r="G68" s="114">
        <f t="shared" si="50"/>
        <v>4</v>
      </c>
      <c r="H68" s="114">
        <f t="shared" si="50"/>
        <v>5</v>
      </c>
      <c r="I68" s="114">
        <f t="shared" si="50"/>
        <v>6</v>
      </c>
      <c r="J68" s="114">
        <f t="shared" si="50"/>
        <v>7</v>
      </c>
      <c r="K68" s="114">
        <f t="shared" si="50"/>
        <v>8</v>
      </c>
      <c r="L68" s="114">
        <f t="shared" si="50"/>
        <v>9</v>
      </c>
      <c r="M68" s="114">
        <f t="shared" si="50"/>
        <v>10</v>
      </c>
      <c r="N68" s="114">
        <f t="shared" si="50"/>
        <v>11</v>
      </c>
      <c r="O68" s="114">
        <f t="shared" si="50"/>
        <v>12</v>
      </c>
      <c r="P68" s="114" t="str">
        <f t="shared" si="50"/>
        <v xml:space="preserve"> </v>
      </c>
      <c r="Q68" s="114" t="str">
        <f t="shared" si="50"/>
        <v xml:space="preserve"> </v>
      </c>
      <c r="R68" s="114" t="str">
        <f t="shared" si="50"/>
        <v xml:space="preserve"> </v>
      </c>
      <c r="S68" s="114" t="str">
        <f t="shared" si="50"/>
        <v xml:space="preserve"> </v>
      </c>
      <c r="T68" s="114" t="str">
        <f t="shared" si="50"/>
        <v xml:space="preserve"> </v>
      </c>
      <c r="U68" s="114" t="str">
        <f t="shared" si="50"/>
        <v xml:space="preserve"> </v>
      </c>
      <c r="V68" s="114" t="str">
        <f t="shared" si="50"/>
        <v xml:space="preserve"> </v>
      </c>
      <c r="W68" s="114" t="str">
        <f t="shared" si="50"/>
        <v xml:space="preserve"> </v>
      </c>
      <c r="X68" s="114" t="str">
        <f t="shared" si="50"/>
        <v xml:space="preserve"> </v>
      </c>
      <c r="Y68" s="114" t="str">
        <f t="shared" si="50"/>
        <v xml:space="preserve"> </v>
      </c>
      <c r="Z68" s="114" t="str">
        <f t="shared" si="50"/>
        <v xml:space="preserve"> </v>
      </c>
      <c r="AA68" s="114" t="str">
        <f t="shared" si="50"/>
        <v xml:space="preserve"> </v>
      </c>
      <c r="AB68" s="114" t="str">
        <f t="shared" si="50"/>
        <v xml:space="preserve"> </v>
      </c>
      <c r="AC68" s="4" t="str">
        <f>IF(AB68=(PC+3)," ",(IF(AB68=" "," ",AB68+1)))</f>
        <v xml:space="preserve"> </v>
      </c>
    </row>
    <row r="69" spans="1:30" s="13" customFormat="1" x14ac:dyDescent="0.3">
      <c r="A69" s="85" t="s">
        <v>44</v>
      </c>
      <c r="B69" s="85"/>
      <c r="C69" s="86"/>
      <c r="D69" s="86"/>
      <c r="E69" s="86">
        <f t="shared" ref="E69:AB69" si="51">IF(E68=" ", " ", (IF(E68&gt;=rn, 1/(1+i)^(E68-rn)," ")))</f>
        <v>1</v>
      </c>
      <c r="F69" s="86">
        <f t="shared" si="51"/>
        <v>0.95238095238095233</v>
      </c>
      <c r="G69" s="86">
        <f t="shared" si="51"/>
        <v>0.90702947845804982</v>
      </c>
      <c r="H69" s="86">
        <f t="shared" si="51"/>
        <v>0.86383759853147601</v>
      </c>
      <c r="I69" s="86">
        <f t="shared" si="51"/>
        <v>0.82270247479188197</v>
      </c>
      <c r="J69" s="86">
        <f t="shared" si="51"/>
        <v>0.78352616646845896</v>
      </c>
      <c r="K69" s="86">
        <f t="shared" si="51"/>
        <v>0.74621539663662761</v>
      </c>
      <c r="L69" s="86">
        <f t="shared" si="51"/>
        <v>0.71068133013012147</v>
      </c>
      <c r="M69" s="86">
        <f t="shared" si="51"/>
        <v>0.67683936202868722</v>
      </c>
      <c r="N69" s="86">
        <f t="shared" si="51"/>
        <v>0.64460891621779726</v>
      </c>
      <c r="O69" s="86">
        <f t="shared" si="51"/>
        <v>0.61391325354075932</v>
      </c>
      <c r="P69" s="86" t="str">
        <f t="shared" si="51"/>
        <v xml:space="preserve"> </v>
      </c>
      <c r="Q69" s="86" t="str">
        <f t="shared" si="51"/>
        <v xml:space="preserve"> </v>
      </c>
      <c r="R69" s="86" t="str">
        <f t="shared" si="51"/>
        <v xml:space="preserve"> </v>
      </c>
      <c r="S69" s="86" t="str">
        <f t="shared" si="51"/>
        <v xml:space="preserve"> </v>
      </c>
      <c r="T69" s="86" t="str">
        <f t="shared" si="51"/>
        <v xml:space="preserve"> </v>
      </c>
      <c r="U69" s="86" t="str">
        <f t="shared" si="51"/>
        <v xml:space="preserve"> </v>
      </c>
      <c r="V69" s="86" t="str">
        <f t="shared" si="51"/>
        <v xml:space="preserve"> </v>
      </c>
      <c r="W69" s="86" t="str">
        <f t="shared" si="51"/>
        <v xml:space="preserve"> </v>
      </c>
      <c r="X69" s="86" t="str">
        <f t="shared" si="51"/>
        <v xml:space="preserve"> </v>
      </c>
      <c r="Y69" s="86" t="str">
        <f t="shared" si="51"/>
        <v xml:space="preserve"> </v>
      </c>
      <c r="Z69" s="86" t="str">
        <f t="shared" si="51"/>
        <v xml:space="preserve"> </v>
      </c>
      <c r="AA69" s="86" t="str">
        <f t="shared" si="51"/>
        <v xml:space="preserve"> </v>
      </c>
      <c r="AB69" s="86" t="str">
        <f t="shared" si="51"/>
        <v xml:space="preserve"> </v>
      </c>
      <c r="AC69" s="58"/>
    </row>
    <row r="70" spans="1:30" s="13" customFormat="1" x14ac:dyDescent="0.3">
      <c r="A70" s="87" t="s">
        <v>27</v>
      </c>
      <c r="B70" s="87"/>
      <c r="C70" s="112"/>
      <c r="D70" s="88" t="str">
        <f t="shared" ref="D70:E70" si="52">" "</f>
        <v xml:space="preserve"> </v>
      </c>
      <c r="E70" s="88" t="str">
        <f t="shared" si="52"/>
        <v xml:space="preserve"> </v>
      </c>
      <c r="F70" s="88" t="str">
        <f>" "</f>
        <v xml:space="preserve"> </v>
      </c>
      <c r="G70" s="88" t="str">
        <f t="shared" ref="G70:AB70" si="53">" "</f>
        <v xml:space="preserve"> </v>
      </c>
      <c r="H70" s="88" t="str">
        <f t="shared" si="53"/>
        <v xml:space="preserve"> </v>
      </c>
      <c r="I70" s="88" t="str">
        <f t="shared" si="53"/>
        <v xml:space="preserve"> </v>
      </c>
      <c r="J70" s="88" t="str">
        <f t="shared" si="53"/>
        <v xml:space="preserve"> </v>
      </c>
      <c r="K70" s="88" t="str">
        <f t="shared" si="53"/>
        <v xml:space="preserve"> </v>
      </c>
      <c r="L70" s="88" t="str">
        <f t="shared" si="53"/>
        <v xml:space="preserve"> </v>
      </c>
      <c r="M70" s="88" t="str">
        <f t="shared" si="53"/>
        <v xml:space="preserve"> </v>
      </c>
      <c r="N70" s="88" t="str">
        <f t="shared" si="53"/>
        <v xml:space="preserve"> </v>
      </c>
      <c r="O70" s="88" t="str">
        <f t="shared" si="53"/>
        <v xml:space="preserve"> </v>
      </c>
      <c r="P70" s="88" t="str">
        <f t="shared" si="53"/>
        <v xml:space="preserve"> </v>
      </c>
      <c r="Q70" s="88" t="str">
        <f t="shared" si="53"/>
        <v xml:space="preserve"> </v>
      </c>
      <c r="R70" s="88" t="str">
        <f t="shared" si="53"/>
        <v xml:space="preserve"> </v>
      </c>
      <c r="S70" s="88" t="str">
        <f t="shared" si="53"/>
        <v xml:space="preserve"> </v>
      </c>
      <c r="T70" s="88" t="str">
        <f t="shared" si="53"/>
        <v xml:space="preserve"> </v>
      </c>
      <c r="U70" s="88" t="str">
        <f t="shared" si="53"/>
        <v xml:space="preserve"> </v>
      </c>
      <c r="V70" s="88" t="str">
        <f t="shared" si="53"/>
        <v xml:space="preserve"> </v>
      </c>
      <c r="W70" s="88" t="str">
        <f t="shared" si="53"/>
        <v xml:space="preserve"> </v>
      </c>
      <c r="X70" s="88" t="str">
        <f t="shared" si="53"/>
        <v xml:space="preserve"> </v>
      </c>
      <c r="Y70" s="88" t="str">
        <f t="shared" si="53"/>
        <v xml:space="preserve"> </v>
      </c>
      <c r="Z70" s="88" t="str">
        <f t="shared" si="53"/>
        <v xml:space="preserve"> </v>
      </c>
      <c r="AA70" s="88" t="str">
        <f t="shared" si="53"/>
        <v xml:space="preserve"> </v>
      </c>
      <c r="AB70" s="88" t="str">
        <f t="shared" si="53"/>
        <v xml:space="preserve"> </v>
      </c>
    </row>
    <row r="71" spans="1:30" s="13" customFormat="1" x14ac:dyDescent="0.3">
      <c r="A71" s="87" t="s">
        <v>51</v>
      </c>
      <c r="B71" s="88" t="str">
        <f t="shared" ref="B71" si="54">IF(B69=" "," ", (IF(A68=on, H,(IF(B67=PC+1, S, " ")))))</f>
        <v xml:space="preserve"> </v>
      </c>
      <c r="C71" s="88" t="str">
        <f t="shared" ref="C71" si="55">IF(C69=" "," ", (IF(B68=on, -H,(IF(C67=PC+1, S, " ")))))</f>
        <v xml:space="preserve"> </v>
      </c>
      <c r="D71" s="88" t="str">
        <f t="shared" ref="D71:AB71" si="56">IF(D69=" "," ", (IF(C68=on, -PurH, " ")))</f>
        <v xml:space="preserve"> </v>
      </c>
      <c r="E71" s="88">
        <f t="shared" si="56"/>
        <v>-2500</v>
      </c>
      <c r="F71" s="88" t="str">
        <f t="shared" si="56"/>
        <v xml:space="preserve"> </v>
      </c>
      <c r="G71" s="88" t="str">
        <f t="shared" si="56"/>
        <v xml:space="preserve"> </v>
      </c>
      <c r="H71" s="88" t="str">
        <f t="shared" si="56"/>
        <v xml:space="preserve"> </v>
      </c>
      <c r="I71" s="88" t="str">
        <f t="shared" si="56"/>
        <v xml:space="preserve"> </v>
      </c>
      <c r="J71" s="88" t="str">
        <f t="shared" si="56"/>
        <v xml:space="preserve"> </v>
      </c>
      <c r="K71" s="88" t="str">
        <f t="shared" si="56"/>
        <v xml:space="preserve"> </v>
      </c>
      <c r="L71" s="88" t="str">
        <f t="shared" si="56"/>
        <v xml:space="preserve"> </v>
      </c>
      <c r="M71" s="88" t="str">
        <f t="shared" si="56"/>
        <v xml:space="preserve"> </v>
      </c>
      <c r="N71" s="88" t="str">
        <f t="shared" si="56"/>
        <v xml:space="preserve"> </v>
      </c>
      <c r="O71" s="88" t="str">
        <f t="shared" si="56"/>
        <v xml:space="preserve"> </v>
      </c>
      <c r="P71" s="88" t="str">
        <f t="shared" si="56"/>
        <v xml:space="preserve"> </v>
      </c>
      <c r="Q71" s="88" t="str">
        <f t="shared" si="56"/>
        <v xml:space="preserve"> </v>
      </c>
      <c r="R71" s="88" t="str">
        <f t="shared" si="56"/>
        <v xml:space="preserve"> </v>
      </c>
      <c r="S71" s="88" t="str">
        <f t="shared" si="56"/>
        <v xml:space="preserve"> </v>
      </c>
      <c r="T71" s="88" t="str">
        <f t="shared" si="56"/>
        <v xml:space="preserve"> </v>
      </c>
      <c r="U71" s="88" t="str">
        <f t="shared" si="56"/>
        <v xml:space="preserve"> </v>
      </c>
      <c r="V71" s="88" t="str">
        <f t="shared" si="56"/>
        <v xml:space="preserve"> </v>
      </c>
      <c r="W71" s="88" t="str">
        <f t="shared" si="56"/>
        <v xml:space="preserve"> </v>
      </c>
      <c r="X71" s="88" t="str">
        <f t="shared" si="56"/>
        <v xml:space="preserve"> </v>
      </c>
      <c r="Y71" s="88" t="str">
        <f t="shared" si="56"/>
        <v xml:space="preserve"> </v>
      </c>
      <c r="Z71" s="88" t="str">
        <f t="shared" si="56"/>
        <v xml:space="preserve"> </v>
      </c>
      <c r="AA71" s="88" t="str">
        <f t="shared" si="56"/>
        <v xml:space="preserve"> </v>
      </c>
      <c r="AB71" s="88" t="str">
        <f t="shared" si="56"/>
        <v xml:space="preserve"> </v>
      </c>
    </row>
    <row r="72" spans="1:30" s="13" customFormat="1" ht="15" thickBot="1" x14ac:dyDescent="0.35">
      <c r="A72" s="87" t="s">
        <v>52</v>
      </c>
      <c r="C72" s="89"/>
      <c r="D72" s="89"/>
      <c r="E72" s="89">
        <f>IF(E69=" "," ", (SUM(E70:E71)))</f>
        <v>-2500</v>
      </c>
      <c r="F72" s="89">
        <f t="shared" ref="F72:AB72" si="57">IF(F69=" "," ", (SUM(F70:F71)))</f>
        <v>0</v>
      </c>
      <c r="G72" s="89">
        <f t="shared" si="57"/>
        <v>0</v>
      </c>
      <c r="H72" s="89">
        <f t="shared" si="57"/>
        <v>0</v>
      </c>
      <c r="I72" s="89">
        <f t="shared" si="57"/>
        <v>0</v>
      </c>
      <c r="J72" s="89">
        <f t="shared" si="57"/>
        <v>0</v>
      </c>
      <c r="K72" s="89">
        <f t="shared" si="57"/>
        <v>0</v>
      </c>
      <c r="L72" s="89">
        <f t="shared" si="57"/>
        <v>0</v>
      </c>
      <c r="M72" s="89">
        <f t="shared" si="57"/>
        <v>0</v>
      </c>
      <c r="N72" s="89">
        <f t="shared" si="57"/>
        <v>0</v>
      </c>
      <c r="O72" s="89">
        <f t="shared" si="57"/>
        <v>0</v>
      </c>
      <c r="P72" s="89" t="str">
        <f t="shared" si="57"/>
        <v xml:space="preserve"> </v>
      </c>
      <c r="Q72" s="89" t="str">
        <f t="shared" si="57"/>
        <v xml:space="preserve"> </v>
      </c>
      <c r="R72" s="89" t="str">
        <f t="shared" si="57"/>
        <v xml:space="preserve"> </v>
      </c>
      <c r="S72" s="89" t="str">
        <f t="shared" si="57"/>
        <v xml:space="preserve"> </v>
      </c>
      <c r="T72" s="89" t="str">
        <f t="shared" si="57"/>
        <v xml:space="preserve"> </v>
      </c>
      <c r="U72" s="89" t="str">
        <f t="shared" si="57"/>
        <v xml:space="preserve"> </v>
      </c>
      <c r="V72" s="89" t="str">
        <f t="shared" si="57"/>
        <v xml:space="preserve"> </v>
      </c>
      <c r="W72" s="89" t="str">
        <f t="shared" si="57"/>
        <v xml:space="preserve"> </v>
      </c>
      <c r="X72" s="89" t="str">
        <f t="shared" si="57"/>
        <v xml:space="preserve"> </v>
      </c>
      <c r="Y72" s="89" t="str">
        <f t="shared" si="57"/>
        <v xml:space="preserve"> </v>
      </c>
      <c r="Z72" s="89" t="str">
        <f t="shared" si="57"/>
        <v xml:space="preserve"> </v>
      </c>
      <c r="AA72" s="89" t="str">
        <f t="shared" si="57"/>
        <v xml:space="preserve"> </v>
      </c>
      <c r="AB72" s="89" t="str">
        <f t="shared" si="57"/>
        <v xml:space="preserve"> </v>
      </c>
    </row>
    <row r="73" spans="1:30" s="13" customFormat="1" ht="15" thickBot="1" x14ac:dyDescent="0.35">
      <c r="A73" s="85" t="s">
        <v>46</v>
      </c>
      <c r="B73" s="68"/>
      <c r="C73" s="90"/>
      <c r="D73" s="90"/>
      <c r="E73" s="90">
        <f>IF(E69=" "," ", (E72*E69))</f>
        <v>-2500</v>
      </c>
      <c r="F73" s="90">
        <f t="shared" ref="F73:AB73" si="58">IF(F69=" "," ", (F72*F69))</f>
        <v>0</v>
      </c>
      <c r="G73" s="90">
        <f t="shared" si="58"/>
        <v>0</v>
      </c>
      <c r="H73" s="90">
        <f t="shared" si="58"/>
        <v>0</v>
      </c>
      <c r="I73" s="90">
        <f t="shared" si="58"/>
        <v>0</v>
      </c>
      <c r="J73" s="90">
        <f t="shared" si="58"/>
        <v>0</v>
      </c>
      <c r="K73" s="90">
        <f t="shared" si="58"/>
        <v>0</v>
      </c>
      <c r="L73" s="90">
        <f t="shared" si="58"/>
        <v>0</v>
      </c>
      <c r="M73" s="90">
        <f t="shared" si="58"/>
        <v>0</v>
      </c>
      <c r="N73" s="90">
        <f t="shared" si="58"/>
        <v>0</v>
      </c>
      <c r="O73" s="90">
        <f t="shared" si="58"/>
        <v>0</v>
      </c>
      <c r="P73" s="90" t="str">
        <f t="shared" si="58"/>
        <v xml:space="preserve"> </v>
      </c>
      <c r="Q73" s="90" t="str">
        <f t="shared" si="58"/>
        <v xml:space="preserve"> </v>
      </c>
      <c r="R73" s="90" t="str">
        <f t="shared" si="58"/>
        <v xml:space="preserve"> </v>
      </c>
      <c r="S73" s="90" t="str">
        <f t="shared" si="58"/>
        <v xml:space="preserve"> </v>
      </c>
      <c r="T73" s="90" t="str">
        <f t="shared" si="58"/>
        <v xml:space="preserve"> </v>
      </c>
      <c r="U73" s="90" t="str">
        <f t="shared" si="58"/>
        <v xml:space="preserve"> </v>
      </c>
      <c r="V73" s="90" t="str">
        <f t="shared" si="58"/>
        <v xml:space="preserve"> </v>
      </c>
      <c r="W73" s="90" t="str">
        <f t="shared" si="58"/>
        <v xml:space="preserve"> </v>
      </c>
      <c r="X73" s="90" t="str">
        <f t="shared" si="58"/>
        <v xml:space="preserve"> </v>
      </c>
      <c r="Y73" s="90" t="str">
        <f t="shared" si="58"/>
        <v xml:space="preserve"> </v>
      </c>
      <c r="Z73" s="90" t="str">
        <f t="shared" si="58"/>
        <v xml:space="preserve"> </v>
      </c>
      <c r="AA73" s="90" t="str">
        <f t="shared" si="58"/>
        <v xml:space="preserve"> </v>
      </c>
      <c r="AB73" s="90" t="str">
        <f t="shared" si="58"/>
        <v xml:space="preserve"> </v>
      </c>
      <c r="AC73" s="2">
        <f>SUM(C73:AB73)</f>
        <v>-2500</v>
      </c>
      <c r="AD73" s="91" t="s">
        <v>64</v>
      </c>
    </row>
    <row r="74" spans="1:30" x14ac:dyDescent="0.3">
      <c r="A74" s="103"/>
      <c r="B74" s="103"/>
      <c r="C74" s="106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</row>
    <row r="75" spans="1:30" x14ac:dyDescent="0.3">
      <c r="A75" s="103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</row>
    <row r="76" spans="1:30" x14ac:dyDescent="0.3">
      <c r="A76" s="103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21"/>
      <c r="Q76" s="122"/>
    </row>
    <row r="77" spans="1:30" x14ac:dyDescent="0.3">
      <c r="A77" s="10"/>
      <c r="D77" s="106"/>
      <c r="E77" s="106"/>
      <c r="F77" s="106"/>
      <c r="G77" s="106"/>
      <c r="H77" s="106"/>
      <c r="I77" s="106"/>
      <c r="J77" s="106"/>
      <c r="K77" s="106"/>
      <c r="L77" s="106"/>
      <c r="M77" s="106"/>
    </row>
    <row r="78" spans="1:30" x14ac:dyDescent="0.3">
      <c r="A78" s="103"/>
      <c r="B78" s="103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</row>
    <row r="79" spans="1:30" x14ac:dyDescent="0.3">
      <c r="A79" s="103"/>
      <c r="B79" s="103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</row>
    <row r="80" spans="1:30" x14ac:dyDescent="0.3">
      <c r="A80" s="103"/>
      <c r="B80" s="103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</row>
    <row r="81" spans="1:29" x14ac:dyDescent="0.3">
      <c r="A81" s="103"/>
      <c r="B81" s="103"/>
      <c r="C81" s="104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</row>
    <row r="82" spans="1:29" x14ac:dyDescent="0.3">
      <c r="A82" s="103"/>
      <c r="B82" s="103"/>
      <c r="C82" s="106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</row>
    <row r="83" spans="1:29" x14ac:dyDescent="0.3">
      <c r="A83" s="103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</row>
    <row r="84" spans="1:29" x14ac:dyDescent="0.3">
      <c r="A84" s="103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21"/>
      <c r="Q84" s="122"/>
    </row>
    <row r="85" spans="1:29" x14ac:dyDescent="0.3">
      <c r="A85" s="10"/>
      <c r="D85" s="106"/>
      <c r="E85" s="106"/>
      <c r="F85" s="106"/>
      <c r="G85" s="106"/>
      <c r="H85" s="106"/>
      <c r="I85" s="106"/>
      <c r="J85" s="106"/>
      <c r="K85" s="106"/>
      <c r="L85" s="106"/>
      <c r="M85" s="106"/>
    </row>
    <row r="86" spans="1:29" x14ac:dyDescent="0.3">
      <c r="A86" s="103"/>
      <c r="B86" s="103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</row>
    <row r="87" spans="1:29" x14ac:dyDescent="0.3">
      <c r="A87" s="103"/>
      <c r="B87" s="103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</row>
    <row r="88" spans="1:29" x14ac:dyDescent="0.3">
      <c r="A88" s="103"/>
      <c r="B88" s="103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</row>
    <row r="89" spans="1:29" x14ac:dyDescent="0.3">
      <c r="A89" s="103"/>
      <c r="B89" s="103"/>
      <c r="C89" s="104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</row>
    <row r="90" spans="1:29" x14ac:dyDescent="0.3">
      <c r="A90" s="103"/>
      <c r="B90" s="103"/>
      <c r="C90" s="106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</row>
    <row r="91" spans="1:29" x14ac:dyDescent="0.3">
      <c r="A91" s="103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</row>
    <row r="92" spans="1:29" x14ac:dyDescent="0.3">
      <c r="A92" s="103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21"/>
      <c r="Q92" s="122"/>
    </row>
    <row r="93" spans="1:29" x14ac:dyDescent="0.3">
      <c r="A93" s="10"/>
      <c r="D93" s="106"/>
      <c r="E93" s="106"/>
      <c r="F93" s="106"/>
      <c r="G93" s="106"/>
      <c r="H93" s="106"/>
      <c r="I93" s="106"/>
      <c r="J93" s="106"/>
      <c r="K93" s="106"/>
      <c r="L93" s="106"/>
      <c r="M93" s="106"/>
    </row>
    <row r="94" spans="1:29" x14ac:dyDescent="0.3">
      <c r="A94" s="103"/>
      <c r="B94" s="103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</row>
    <row r="95" spans="1:29" x14ac:dyDescent="0.3">
      <c r="A95" s="103"/>
      <c r="B95" s="103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</row>
    <row r="96" spans="1:29" x14ac:dyDescent="0.3">
      <c r="A96" s="103"/>
      <c r="B96" s="103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</row>
    <row r="97" spans="1:29" x14ac:dyDescent="0.3">
      <c r="A97" s="103"/>
      <c r="B97" s="103"/>
      <c r="C97" s="104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5"/>
    </row>
    <row r="98" spans="1:29" x14ac:dyDescent="0.3">
      <c r="A98" s="103"/>
      <c r="B98" s="103"/>
      <c r="C98" s="106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  <c r="O98" s="105"/>
    </row>
    <row r="99" spans="1:29" x14ac:dyDescent="0.3">
      <c r="A99" s="103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</row>
    <row r="100" spans="1:29" x14ac:dyDescent="0.3">
      <c r="A100" s="103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21"/>
      <c r="Q100" s="122"/>
    </row>
    <row r="101" spans="1:29" x14ac:dyDescent="0.3">
      <c r="A101" s="10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</row>
    <row r="102" spans="1:29" x14ac:dyDescent="0.3">
      <c r="A102" s="103"/>
      <c r="B102" s="103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</row>
    <row r="103" spans="1:29" x14ac:dyDescent="0.3">
      <c r="A103" s="103"/>
      <c r="B103" s="103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</row>
    <row r="104" spans="1:29" x14ac:dyDescent="0.3">
      <c r="A104" s="103"/>
      <c r="B104" s="103"/>
      <c r="C104" s="124"/>
      <c r="D104" s="124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</row>
    <row r="105" spans="1:29" x14ac:dyDescent="0.3">
      <c r="A105" s="103"/>
      <c r="B105" s="103"/>
      <c r="C105" s="104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5"/>
    </row>
    <row r="106" spans="1:29" x14ac:dyDescent="0.3">
      <c r="A106" s="103"/>
      <c r="B106" s="103"/>
      <c r="C106" s="106"/>
      <c r="D106" s="105"/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  <c r="O106" s="105"/>
    </row>
    <row r="107" spans="1:29" x14ac:dyDescent="0.3">
      <c r="A107" s="103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</row>
    <row r="108" spans="1:29" x14ac:dyDescent="0.3">
      <c r="A108" s="103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21"/>
      <c r="Q108" s="122"/>
    </row>
    <row r="109" spans="1:29" ht="16.5" customHeight="1" x14ac:dyDescent="0.3">
      <c r="A109" s="10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</row>
    <row r="110" spans="1:29" x14ac:dyDescent="0.3">
      <c r="A110" s="103"/>
      <c r="B110" s="103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</row>
    <row r="111" spans="1:29" x14ac:dyDescent="0.3">
      <c r="A111" s="103"/>
      <c r="B111" s="103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</row>
    <row r="112" spans="1:29" x14ac:dyDescent="0.3">
      <c r="A112" s="103"/>
      <c r="B112" s="103"/>
      <c r="C112" s="124"/>
      <c r="D112" s="124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</row>
    <row r="113" spans="1:29" x14ac:dyDescent="0.3">
      <c r="A113" s="103"/>
      <c r="B113" s="103"/>
      <c r="C113" s="104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</row>
    <row r="114" spans="1:29" x14ac:dyDescent="0.3">
      <c r="A114" s="103"/>
      <c r="B114" s="103"/>
      <c r="C114" s="106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</row>
    <row r="115" spans="1:29" x14ac:dyDescent="0.3">
      <c r="A115" s="103"/>
      <c r="C115" s="106"/>
      <c r="D115" s="106"/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</row>
    <row r="116" spans="1:29" x14ac:dyDescent="0.3">
      <c r="A116" s="103"/>
      <c r="C116" s="106"/>
      <c r="D116" s="106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21"/>
      <c r="Q116" s="122"/>
    </row>
    <row r="117" spans="1:29" ht="16.5" customHeight="1" x14ac:dyDescent="0.3">
      <c r="A117" s="10"/>
      <c r="D117" s="106"/>
      <c r="E117" s="106"/>
      <c r="F117" s="106"/>
      <c r="G117" s="106"/>
      <c r="H117" s="106"/>
      <c r="I117" s="106"/>
      <c r="J117" s="106"/>
      <c r="K117" s="106"/>
      <c r="L117" s="106"/>
      <c r="M117" s="106"/>
    </row>
    <row r="118" spans="1:29" x14ac:dyDescent="0.3">
      <c r="A118" s="103"/>
      <c r="B118" s="103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</row>
    <row r="119" spans="1:29" x14ac:dyDescent="0.3">
      <c r="A119" s="103"/>
      <c r="B119" s="103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</row>
    <row r="120" spans="1:29" x14ac:dyDescent="0.3">
      <c r="A120" s="103"/>
      <c r="B120" s="103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</row>
    <row r="121" spans="1:29" x14ac:dyDescent="0.3">
      <c r="A121" s="103"/>
      <c r="B121" s="103"/>
      <c r="C121" s="104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</row>
    <row r="122" spans="1:29" x14ac:dyDescent="0.3">
      <c r="A122" s="103"/>
      <c r="B122" s="103"/>
      <c r="C122" s="106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</row>
    <row r="123" spans="1:29" x14ac:dyDescent="0.3">
      <c r="A123" s="103"/>
      <c r="C123" s="106"/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</row>
    <row r="124" spans="1:29" x14ac:dyDescent="0.3">
      <c r="A124" s="103"/>
      <c r="C124" s="106"/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21"/>
      <c r="Q124" s="122"/>
    </row>
    <row r="125" spans="1:29" ht="16.5" customHeight="1" x14ac:dyDescent="0.3">
      <c r="A125" s="10"/>
      <c r="D125" s="106"/>
      <c r="E125" s="106"/>
      <c r="F125" s="106"/>
      <c r="G125" s="106"/>
      <c r="H125" s="106"/>
      <c r="I125" s="106"/>
      <c r="J125" s="106"/>
      <c r="K125" s="106"/>
      <c r="L125" s="106"/>
      <c r="M125" s="106"/>
    </row>
    <row r="126" spans="1:29" x14ac:dyDescent="0.3">
      <c r="A126" s="103"/>
      <c r="B126" s="103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</row>
    <row r="127" spans="1:29" x14ac:dyDescent="0.3">
      <c r="A127" s="103"/>
      <c r="B127" s="103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</row>
    <row r="128" spans="1:29" x14ac:dyDescent="0.3">
      <c r="A128" s="103"/>
      <c r="B128" s="103"/>
      <c r="C128" s="124"/>
      <c r="D128" s="124"/>
      <c r="E128" s="124"/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</row>
    <row r="129" spans="1:17" x14ac:dyDescent="0.3">
      <c r="A129" s="103"/>
      <c r="B129" s="103"/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</row>
    <row r="130" spans="1:17" x14ac:dyDescent="0.3">
      <c r="A130" s="103"/>
      <c r="B130" s="103"/>
      <c r="C130" s="106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</row>
    <row r="131" spans="1:17" x14ac:dyDescent="0.3">
      <c r="A131" s="103"/>
      <c r="C131" s="106"/>
      <c r="D131" s="106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</row>
    <row r="132" spans="1:17" x14ac:dyDescent="0.3">
      <c r="A132" s="103"/>
      <c r="C132" s="106"/>
      <c r="D132" s="106"/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21"/>
      <c r="Q132" s="122"/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C6C09-64BC-4311-A3A3-1295FBB5F937}">
  <sheetPr codeName="Sheet10">
    <tabColor theme="9"/>
  </sheetPr>
  <dimension ref="B2:N45"/>
  <sheetViews>
    <sheetView zoomScaleNormal="100" workbookViewId="0">
      <selection activeCell="K3" sqref="K3"/>
    </sheetView>
  </sheetViews>
  <sheetFormatPr defaultColWidth="9.21875" defaultRowHeight="14.4" x14ac:dyDescent="0.3"/>
  <cols>
    <col min="1" max="1" width="3.44140625" style="13" customWidth="1"/>
    <col min="2" max="2" width="13.44140625" style="13" customWidth="1"/>
    <col min="3" max="4" width="9.21875" style="13"/>
    <col min="5" max="5" width="14.21875" style="13" bestFit="1" customWidth="1"/>
    <col min="6" max="6" width="9.77734375" style="13" bestFit="1" customWidth="1"/>
    <col min="7" max="8" width="9.21875" style="13"/>
    <col min="9" max="9" width="18.44140625" style="13" customWidth="1"/>
    <col min="10" max="10" width="5.77734375" style="13" customWidth="1"/>
    <col min="11" max="12" width="9.21875" style="13"/>
    <col min="13" max="13" width="15.77734375" style="13" customWidth="1"/>
    <col min="14" max="16384" width="9.21875" style="13"/>
  </cols>
  <sheetData>
    <row r="2" spans="2:14" ht="16.2" thickBot="1" x14ac:dyDescent="0.35">
      <c r="B2" s="53" t="s">
        <v>116</v>
      </c>
      <c r="C2" s="23"/>
      <c r="D2" s="23"/>
      <c r="E2" s="23"/>
      <c r="F2" s="23"/>
      <c r="I2" s="16" t="s">
        <v>115</v>
      </c>
      <c r="J2" s="23"/>
      <c r="K2" s="23"/>
      <c r="L2" s="23"/>
      <c r="M2" s="23"/>
      <c r="N2" s="23"/>
    </row>
    <row r="3" spans="2:14" ht="18" x14ac:dyDescent="0.35">
      <c r="B3" s="54" t="s">
        <v>65</v>
      </c>
      <c r="I3" s="59" t="s">
        <v>71</v>
      </c>
      <c r="J3" s="60" t="s">
        <v>118</v>
      </c>
      <c r="K3" s="7">
        <f>(i*'Wt NPV &amp; EA'!F5)/(1-(1+i)^(-PCO))</f>
        <v>423.09718221465573</v>
      </c>
      <c r="M3" s="61"/>
    </row>
    <row r="4" spans="2:14" x14ac:dyDescent="0.3">
      <c r="B4" s="6" t="s">
        <v>66</v>
      </c>
      <c r="I4" s="43" t="s">
        <v>72</v>
      </c>
      <c r="J4" s="55" t="s">
        <v>119</v>
      </c>
      <c r="K4" s="5">
        <f>(i*'Wt NPV &amp; EA'!F12)/(1-(1+i)^(-PC))</f>
        <v>488.77776489201591</v>
      </c>
      <c r="M4" s="62" t="s">
        <v>73</v>
      </c>
      <c r="N4" s="43" t="str">
        <f>IF(K3&gt;K4, "YES", "NO")</f>
        <v>NO</v>
      </c>
    </row>
    <row r="5" spans="2:14" x14ac:dyDescent="0.3">
      <c r="B5" s="43" t="s">
        <v>1</v>
      </c>
      <c r="C5" s="49">
        <f>VLOOKUP('Variable Inputs'!$C$17,'Probabilities &amp; Price Slide'!$B$3:$G$12,2,FALSE)</f>
        <v>0.95940000000000003</v>
      </c>
      <c r="E5" s="55" t="s">
        <v>67</v>
      </c>
      <c r="F5" s="8">
        <f>(NPVc_1_*'Wt NPV &amp; EA'!C5)+(NPVo_1_*'Wt NPV &amp; EA'!C6)+(NPVu_1_*'Wt NPV &amp; EA'!C7)+(NPVd_1_*'Wt NPV &amp; EA'!C8)</f>
        <v>3267.0442903465787</v>
      </c>
    </row>
    <row r="6" spans="2:14" x14ac:dyDescent="0.3">
      <c r="B6" s="43" t="s">
        <v>2</v>
      </c>
      <c r="C6" s="49">
        <f>VLOOKUP('Variable Inputs'!$C$17,'Probabilities &amp; Price Slide'!$B$3:$G$12,3,FALSE)</f>
        <v>2.0000000000000004E-2</v>
      </c>
    </row>
    <row r="7" spans="2:14" x14ac:dyDescent="0.3">
      <c r="B7" s="43" t="s">
        <v>68</v>
      </c>
      <c r="C7" s="49">
        <f>VLOOKUP('Variable Inputs'!$C$17,'Probabilities &amp; Price Slide'!$B$3:$G$12,4,FALSE)</f>
        <v>7.000000000000001E-3</v>
      </c>
    </row>
    <row r="8" spans="2:14" x14ac:dyDescent="0.3">
      <c r="B8" s="43" t="s">
        <v>4</v>
      </c>
      <c r="C8" s="49">
        <f>VLOOKUP('Variable Inputs'!$C$17,'Probabilities &amp; Price Slide'!$B$3:$G$12,5,FALSE)</f>
        <v>1.3599999999999999E-2</v>
      </c>
    </row>
    <row r="9" spans="2:14" x14ac:dyDescent="0.3">
      <c r="C9" s="56"/>
    </row>
    <row r="10" spans="2:14" ht="18" x14ac:dyDescent="0.35">
      <c r="B10" s="54" t="s">
        <v>69</v>
      </c>
    </row>
    <row r="11" spans="2:14" x14ac:dyDescent="0.3">
      <c r="B11" s="6" t="s">
        <v>70</v>
      </c>
    </row>
    <row r="12" spans="2:14" x14ac:dyDescent="0.3">
      <c r="B12" s="43" t="s">
        <v>1</v>
      </c>
      <c r="C12" s="49">
        <f>'Probabilities &amp; Price Slide'!$C$3</f>
        <v>0.95940000000000003</v>
      </c>
      <c r="E12" s="55" t="s">
        <v>67</v>
      </c>
      <c r="F12" s="8">
        <f>(NPVh_1_*'Wt NPV &amp; EA'!C12)+(NPVho_1_*'Wt NPV &amp; EA'!C13)+(NPVhu_1_*'Wt NPV &amp; EA'!C14)+('Wt NPV &amp; EA'!C15)</f>
        <v>3774.2123397755618</v>
      </c>
    </row>
    <row r="13" spans="2:14" x14ac:dyDescent="0.3">
      <c r="B13" s="43" t="s">
        <v>2</v>
      </c>
      <c r="C13" s="49">
        <f>'Probabilities &amp; Price Slide'!$D$3</f>
        <v>2.0000000000000004E-2</v>
      </c>
    </row>
    <row r="14" spans="2:14" x14ac:dyDescent="0.3">
      <c r="B14" s="43" t="s">
        <v>68</v>
      </c>
      <c r="C14" s="49">
        <f>'Probabilities &amp; Price Slide'!$E$3</f>
        <v>7.000000000000001E-3</v>
      </c>
    </row>
    <row r="15" spans="2:14" x14ac:dyDescent="0.3">
      <c r="B15" s="43" t="s">
        <v>4</v>
      </c>
      <c r="C15" s="49">
        <f>'Probabilities &amp; Price Slide'!$F$3</f>
        <v>1.3599999999999999E-2</v>
      </c>
    </row>
    <row r="16" spans="2:14" x14ac:dyDescent="0.3">
      <c r="C16" s="56"/>
    </row>
    <row r="17" spans="2:14" ht="16.2" thickBot="1" x14ac:dyDescent="0.35">
      <c r="B17" s="53" t="s">
        <v>117</v>
      </c>
      <c r="C17" s="23"/>
      <c r="D17" s="23"/>
      <c r="E17" s="23"/>
      <c r="F17" s="23"/>
      <c r="I17" s="16" t="s">
        <v>114</v>
      </c>
      <c r="J17" s="23"/>
      <c r="K17" s="23"/>
      <c r="L17" s="23"/>
      <c r="M17" s="23"/>
      <c r="N17" s="23"/>
    </row>
    <row r="18" spans="2:14" ht="18" x14ac:dyDescent="0.35">
      <c r="B18" s="54" t="s">
        <v>65</v>
      </c>
      <c r="I18" s="59" t="s">
        <v>71</v>
      </c>
      <c r="J18" s="60" t="s">
        <v>118</v>
      </c>
      <c r="K18" s="7">
        <f>(i*'Wt NPV &amp; EA'!F20)/(1-(1+i)^(-PCO))</f>
        <v>423.09718221465573</v>
      </c>
      <c r="M18" s="61"/>
    </row>
    <row r="19" spans="2:14" x14ac:dyDescent="0.3">
      <c r="B19" s="6" t="s">
        <v>66</v>
      </c>
      <c r="I19" s="43" t="s">
        <v>72</v>
      </c>
      <c r="J19" s="55" t="s">
        <v>119</v>
      </c>
      <c r="K19" s="5">
        <f>(i*'Wt NPV &amp; EA'!F27)/(1-(1+i)^(-PC))</f>
        <v>356.62953533504424</v>
      </c>
      <c r="M19" s="62" t="s">
        <v>73</v>
      </c>
      <c r="N19" s="43" t="str">
        <f>IF(K18&gt;K19, "YES", "NO")</f>
        <v>YES</v>
      </c>
    </row>
    <row r="20" spans="2:14" x14ac:dyDescent="0.3">
      <c r="B20" s="43" t="s">
        <v>1</v>
      </c>
      <c r="C20" s="49">
        <f>VLOOKUP('Variable Inputs'!$C$17,'Probabilities &amp; Price Slide'!$B$3:$G$12,2,FALSE)</f>
        <v>0.95940000000000003</v>
      </c>
      <c r="E20" s="55" t="s">
        <v>67</v>
      </c>
      <c r="F20" s="8">
        <f>(NPVc_2_*'Wt NPV &amp; EA'!C20)+(NPVo_2_*'Wt NPV &amp; EA'!C21)+(NPVu_2_*'Wt NPV &amp; EA'!C22)+(NPVd_2_*'Wt NPV &amp; EA'!C23)</f>
        <v>3267.0442903465787</v>
      </c>
    </row>
    <row r="21" spans="2:14" x14ac:dyDescent="0.3">
      <c r="B21" s="43" t="s">
        <v>2</v>
      </c>
      <c r="C21" s="49">
        <f>VLOOKUP('Variable Inputs'!$C$17,'Probabilities &amp; Price Slide'!$B$3:$G$12,3,FALSE)</f>
        <v>2.0000000000000004E-2</v>
      </c>
    </row>
    <row r="22" spans="2:14" x14ac:dyDescent="0.3">
      <c r="B22" s="43" t="s">
        <v>68</v>
      </c>
      <c r="C22" s="49">
        <f>VLOOKUP('Variable Inputs'!$C$17,'Probabilities &amp; Price Slide'!$B$3:$G$12,4,FALSE)</f>
        <v>7.000000000000001E-3</v>
      </c>
    </row>
    <row r="23" spans="2:14" x14ac:dyDescent="0.3">
      <c r="B23" s="43" t="s">
        <v>4</v>
      </c>
      <c r="C23" s="49">
        <f>VLOOKUP('Variable Inputs'!$C$17,'Probabilities &amp; Price Slide'!$B$3:$G$12,5,FALSE)</f>
        <v>1.3599999999999999E-2</v>
      </c>
    </row>
    <row r="25" spans="2:14" ht="18" x14ac:dyDescent="0.35">
      <c r="B25" s="54" t="s">
        <v>69</v>
      </c>
    </row>
    <row r="26" spans="2:14" x14ac:dyDescent="0.3">
      <c r="B26" s="6" t="s">
        <v>70</v>
      </c>
    </row>
    <row r="27" spans="2:14" x14ac:dyDescent="0.3">
      <c r="B27" s="43" t="s">
        <v>1</v>
      </c>
      <c r="C27" s="49">
        <f>'Probabilities &amp; Price Slide'!$C$3</f>
        <v>0.95940000000000003</v>
      </c>
      <c r="E27" s="55" t="s">
        <v>67</v>
      </c>
      <c r="F27" s="8" cm="1">
        <f t="array" ref="F27">(NPVh_2_*'Wt NPV &amp; EA'!C27)+(NPVho_2_*'Wt NPV &amp; EA'!C28)+(NPVhu_2_*'Wt NPV &amp; EA'!C29)+(NPVhd_2_*'Wt NPV &amp; EA'!C30)</f>
        <v>2753.798739775561</v>
      </c>
    </row>
    <row r="28" spans="2:14" x14ac:dyDescent="0.3">
      <c r="B28" s="43" t="s">
        <v>2</v>
      </c>
      <c r="C28" s="49">
        <f>'Probabilities &amp; Price Slide'!$D$3</f>
        <v>2.0000000000000004E-2</v>
      </c>
    </row>
    <row r="29" spans="2:14" x14ac:dyDescent="0.3">
      <c r="B29" s="43" t="s">
        <v>68</v>
      </c>
      <c r="C29" s="49">
        <f>'Probabilities &amp; Price Slide'!$E$3</f>
        <v>7.000000000000001E-3</v>
      </c>
    </row>
    <row r="30" spans="2:14" x14ac:dyDescent="0.3">
      <c r="B30" s="43" t="s">
        <v>4</v>
      </c>
      <c r="C30" s="49">
        <f>'Probabilities &amp; Price Slide'!$F$3</f>
        <v>1.3599999999999999E-2</v>
      </c>
    </row>
    <row r="31" spans="2:14" x14ac:dyDescent="0.3">
      <c r="C31" s="56"/>
    </row>
    <row r="32" spans="2:14" ht="15.6" x14ac:dyDescent="0.3">
      <c r="B32" s="57"/>
    </row>
    <row r="33" spans="2:6" ht="18" x14ac:dyDescent="0.35">
      <c r="B33" s="54"/>
    </row>
    <row r="34" spans="2:6" x14ac:dyDescent="0.3">
      <c r="B34" s="6"/>
    </row>
    <row r="35" spans="2:6" x14ac:dyDescent="0.3">
      <c r="E35" s="6"/>
      <c r="F35" s="58"/>
    </row>
    <row r="37" spans="2:6" x14ac:dyDescent="0.3">
      <c r="B37" s="6"/>
    </row>
    <row r="38" spans="2:6" x14ac:dyDescent="0.3">
      <c r="E38" s="6"/>
      <c r="F38" s="58"/>
    </row>
    <row r="43" spans="2:6" ht="18" x14ac:dyDescent="0.35">
      <c r="B43" s="54"/>
    </row>
    <row r="44" spans="2:6" x14ac:dyDescent="0.3">
      <c r="B44" s="6"/>
    </row>
    <row r="45" spans="2:6" x14ac:dyDescent="0.3">
      <c r="E45" s="6"/>
      <c r="F45" s="58"/>
    </row>
  </sheetData>
  <sheetProtection sheet="1" objects="1" scenarios="1"/>
  <conditionalFormatting sqref="N2:N4 N6 N17:N19">
    <cfRule type="cellIs" dxfId="1" priority="1" operator="equal">
      <formula>"NO"</formula>
    </cfRule>
    <cfRule type="cellIs" dxfId="0" priority="2" operator="equal">
      <formula>"YES"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5bf6ba4-597b-4d56-9e74-8ac5033cfe0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C55B551C001A47B4DF5DB3E4D26C29" ma:contentTypeVersion="9" ma:contentTypeDescription="Create a new document." ma:contentTypeScope="" ma:versionID="b3f80772e0c6c2fac2f12938d374786a">
  <xsd:schema xmlns:xsd="http://www.w3.org/2001/XMLSchema" xmlns:xs="http://www.w3.org/2001/XMLSchema" xmlns:p="http://schemas.microsoft.com/office/2006/metadata/properties" xmlns:ns3="85bf6ba4-597b-4d56-9e74-8ac5033cfe04" xmlns:ns4="322915e9-7941-4d94-b8fa-9d752aa04ddc" targetNamespace="http://schemas.microsoft.com/office/2006/metadata/properties" ma:root="true" ma:fieldsID="e77e9e88fcd4ed987edddf69628a32fb" ns3:_="" ns4:_="">
    <xsd:import namespace="85bf6ba4-597b-4d56-9e74-8ac5033cfe04"/>
    <xsd:import namespace="322915e9-7941-4d94-b8fa-9d752aa04ddc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bf6ba4-597b-4d56-9e74-8ac5033cfe04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915e9-7941-4d94-b8fa-9d752aa04ddc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2E9758-AD56-4490-8D6C-C17D3769AAA5}">
  <ds:schemaRefs>
    <ds:schemaRef ds:uri="http://purl.org/dc/terms/"/>
    <ds:schemaRef ds:uri="http://schemas.microsoft.com/office/infopath/2007/PartnerControls"/>
    <ds:schemaRef ds:uri="http://purl.org/dc/elements/1.1/"/>
    <ds:schemaRef ds:uri="322915e9-7941-4d94-b8fa-9d752aa04ddc"/>
    <ds:schemaRef ds:uri="http://www.w3.org/XML/1998/namespace"/>
    <ds:schemaRef ds:uri="http://schemas.microsoft.com/office/2006/documentManagement/types"/>
    <ds:schemaRef ds:uri="85bf6ba4-597b-4d56-9e74-8ac5033cfe04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2351308-65AE-4350-86FE-CF73ADABB5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D6ED72-F166-4780-8350-2E24AF168D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bf6ba4-597b-4d56-9e74-8ac5033cfe04"/>
    <ds:schemaRef ds:uri="322915e9-7941-4d94-b8fa-9d752aa04d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27</vt:i4>
      </vt:variant>
    </vt:vector>
  </HeadingPairs>
  <TitlesOfParts>
    <vt:vector size="32" baseType="lpstr">
      <vt:lpstr>Variable Inputs</vt:lpstr>
      <vt:lpstr>Probabilities &amp; Price Slide</vt:lpstr>
      <vt:lpstr>NPV Scenario 1</vt:lpstr>
      <vt:lpstr>NPV Scenario 2</vt:lpstr>
      <vt:lpstr>Wt NPV &amp; EA</vt:lpstr>
      <vt:lpstr>Age</vt:lpstr>
      <vt:lpstr>H</vt:lpstr>
      <vt:lpstr>i</vt:lpstr>
      <vt:lpstr>NPVc_1_</vt:lpstr>
      <vt:lpstr>NPVc_2_</vt:lpstr>
      <vt:lpstr>NPVd_1_</vt:lpstr>
      <vt:lpstr>NPVd_2_</vt:lpstr>
      <vt:lpstr>NPVh_1_</vt:lpstr>
      <vt:lpstr>NPVhd_1_</vt:lpstr>
      <vt:lpstr>NPVhd_2_</vt:lpstr>
      <vt:lpstr>NPVho_1_</vt:lpstr>
      <vt:lpstr>NPVho_2_</vt:lpstr>
      <vt:lpstr>NPVhu_1_</vt:lpstr>
      <vt:lpstr>NPVhu_2_</vt:lpstr>
      <vt:lpstr>NPVo_1_</vt:lpstr>
      <vt:lpstr>NPVo_2_</vt:lpstr>
      <vt:lpstr>NPVu_1_</vt:lpstr>
      <vt:lpstr>NPVu_2_</vt:lpstr>
      <vt:lpstr>on</vt:lpstr>
      <vt:lpstr>P</vt:lpstr>
      <vt:lpstr>PC</vt:lpstr>
      <vt:lpstr>PCO</vt:lpstr>
      <vt:lpstr>PurH</vt:lpstr>
      <vt:lpstr>rev</vt:lpstr>
      <vt:lpstr>rn</vt:lpstr>
      <vt:lpstr>S</vt:lpstr>
      <vt:lpstr>vc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Heidi Tymko</dc:creator>
  <cp:keywords/>
  <dc:description/>
  <cp:lastModifiedBy>Heidi Johnson</cp:lastModifiedBy>
  <cp:revision/>
  <dcterms:created xsi:type="dcterms:W3CDTF">2015-06-05T18:17:20Z</dcterms:created>
  <dcterms:modified xsi:type="dcterms:W3CDTF">2025-08-01T16:05:43Z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0x01010007C55B551C001A47B4DF5DB3E4D26C29</vt:lpwstr>
  </property>
</Properties>
</file>